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BD29" lockStructure="1"/>
  <bookViews>
    <workbookView xWindow="0" yWindow="0" windowWidth="10710" windowHeight="4440" firstSheet="1" activeTab="5"/>
  </bookViews>
  <sheets>
    <sheet name="HAZARDS-GEN" sheetId="1" r:id="rId1"/>
    <sheet name="REPETITIVE-MOV" sheetId="7" r:id="rId2"/>
    <sheet name="MANUAL HANDLING" sheetId="6" r:id="rId3"/>
    <sheet name="POSTURES" sheetId="12" r:id="rId4"/>
    <sheet name="POLLUTTANTS" sheetId="11" r:id="rId5"/>
    <sheet name="SYNTHESIS" sheetId="8" r:id="rId6"/>
  </sheets>
  <definedNames>
    <definedName name="_xlnm.Print_Area" localSheetId="0">'HAZARDS-GEN'!$B$1:$O$248</definedName>
    <definedName name="_xlnm.Print_Area" localSheetId="2">'MANUAL HANDLING'!$A$1:$O$72</definedName>
    <definedName name="_xlnm.Print_Area" localSheetId="3">POSTURES!$A$1:$O$62</definedName>
    <definedName name="_xlnm.Print_Area" localSheetId="1">'REPETITIVE-MOV'!$A$1:$Q$51</definedName>
    <definedName name="_xlnm.Print_Area" localSheetId="5">SYNTHESIS!$A$1:$S$95</definedName>
    <definedName name="illuminazione_generale" localSheetId="3">'HAZARDS-GEN'!#REF!</definedName>
    <definedName name="illuminazione_generale">'HAZARDS-GEN'!#REF!</definedName>
    <definedName name="illuminazione_localizzata" localSheetId="3">'HAZARDS-GEN'!#REF!</definedName>
    <definedName name="illuminazione_localizzata">'HAZARDS-GEN'!#REF!</definedName>
    <definedName name="illuminazione_superfici" localSheetId="3">'HAZARDS-GEN'!#REF!</definedName>
    <definedName name="illuminazione_superfici">'HAZARDS-GEN'!#REF!</definedName>
    <definedName name="postura_braccia" localSheetId="3">'HAZARDS-GEN'!#REF!</definedName>
    <definedName name="postura_braccia">'HAZARDS-GEN'!#REF!</definedName>
    <definedName name="postura_gambe" localSheetId="3">'HAZARDS-GEN'!#REF!</definedName>
    <definedName name="postura_gambe">'HAZARDS-GEN'!#REF!</definedName>
    <definedName name="postura_piedi" localSheetId="3">'HAZARDS-GEN'!#REF!</definedName>
    <definedName name="postura_piedi">'HAZARDS-GEN'!#REF!</definedName>
    <definedName name="postura_seduta" localSheetId="3">'HAZARDS-GEN'!#REF!</definedName>
    <definedName name="postura_seduta">'HAZARDS-GEN'!#REF!</definedName>
  </definedNames>
  <calcPr calcId="145621"/>
</workbook>
</file>

<file path=xl/calcChain.xml><?xml version="1.0" encoding="utf-8"?>
<calcChain xmlns="http://schemas.openxmlformats.org/spreadsheetml/2006/main">
  <c r="P110" i="6" l="1"/>
  <c r="P98" i="6"/>
  <c r="P97" i="6"/>
  <c r="S98" i="6"/>
  <c r="S99" i="6"/>
  <c r="S100" i="6"/>
  <c r="S101" i="6"/>
  <c r="S97" i="6"/>
  <c r="P100" i="6"/>
  <c r="P103" i="6"/>
  <c r="P102" i="6"/>
  <c r="P101" i="6"/>
  <c r="P34" i="6"/>
  <c r="Q103" i="6" l="1"/>
  <c r="G102" i="6" l="1"/>
  <c r="J82" i="7" l="1"/>
  <c r="V82" i="7" s="1"/>
  <c r="AH22" i="11" l="1"/>
  <c r="P67" i="6" l="1"/>
  <c r="P68" i="6"/>
  <c r="P69" i="6"/>
  <c r="P66" i="6"/>
  <c r="P60" i="6"/>
  <c r="P61" i="6"/>
  <c r="P62" i="6"/>
  <c r="P59" i="6"/>
  <c r="M69" i="1"/>
  <c r="L60" i="12" l="1"/>
  <c r="L55" i="12" s="1"/>
  <c r="R58" i="12"/>
  <c r="R57" i="12"/>
  <c r="L52" i="12"/>
  <c r="K39" i="12" s="1"/>
  <c r="R50" i="12"/>
  <c r="R49" i="12"/>
  <c r="R48" i="12"/>
  <c r="R44" i="12"/>
  <c r="R43" i="12"/>
  <c r="R42" i="12"/>
  <c r="L36" i="12"/>
  <c r="R19" i="12" s="1"/>
  <c r="R34" i="12"/>
  <c r="R33" i="12"/>
  <c r="R32" i="12"/>
  <c r="R31" i="12"/>
  <c r="R26" i="12"/>
  <c r="R25" i="12"/>
  <c r="R24" i="12"/>
  <c r="R23" i="12"/>
  <c r="K7" i="12"/>
  <c r="K6" i="12"/>
  <c r="D6" i="12"/>
  <c r="J4" i="12"/>
  <c r="D4" i="12"/>
  <c r="R62" i="1"/>
  <c r="D66" i="1" s="1"/>
  <c r="R67" i="1"/>
  <c r="R54" i="1"/>
  <c r="R68" i="1"/>
  <c r="R69" i="1"/>
  <c r="R70" i="1"/>
  <c r="S70" i="1" l="1"/>
  <c r="K71" i="1" s="1"/>
  <c r="T61" i="12"/>
  <c r="R38" i="12"/>
  <c r="R54" i="12"/>
  <c r="T36" i="12"/>
  <c r="S34" i="12"/>
  <c r="K20" i="12"/>
  <c r="T52" i="12"/>
  <c r="S26" i="12"/>
  <c r="J27" i="12" s="1"/>
  <c r="R3" i="8"/>
  <c r="W58" i="12" l="1"/>
  <c r="N15" i="12"/>
  <c r="P15" i="12" s="1"/>
  <c r="W60" i="12"/>
  <c r="W61" i="12" s="1"/>
  <c r="U83" i="7"/>
  <c r="S81" i="7"/>
  <c r="R81" i="7"/>
  <c r="S80" i="7"/>
  <c r="U80" i="7" s="1"/>
  <c r="R80" i="7"/>
  <c r="S76" i="7"/>
  <c r="U76" i="7" s="1"/>
  <c r="R76" i="7"/>
  <c r="S72" i="7"/>
  <c r="R72" i="7"/>
  <c r="S71" i="7"/>
  <c r="R71" i="7"/>
  <c r="S70" i="7"/>
  <c r="R70" i="7"/>
  <c r="S69" i="7"/>
  <c r="R69" i="7"/>
  <c r="S65" i="7"/>
  <c r="R65" i="7"/>
  <c r="S61" i="7"/>
  <c r="R61" i="7"/>
  <c r="S60" i="7"/>
  <c r="R60" i="7"/>
  <c r="S59" i="7"/>
  <c r="R59" i="7"/>
  <c r="W19" i="7"/>
  <c r="R68" i="12" l="1"/>
  <c r="D68" i="12" s="1"/>
  <c r="R38" i="8"/>
  <c r="C17" i="12"/>
  <c r="K38" i="8"/>
  <c r="R67" i="12"/>
  <c r="D67" i="12" s="1"/>
  <c r="U72" i="7"/>
  <c r="U61" i="7"/>
  <c r="U84" i="7"/>
  <c r="C41" i="8" l="1"/>
  <c r="X36" i="7"/>
  <c r="X67" i="6" l="1"/>
  <c r="X58" i="6"/>
  <c r="X55" i="6"/>
  <c r="P85" i="6"/>
  <c r="Z81" i="6" s="1"/>
  <c r="P86" i="6"/>
  <c r="Y81" i="6" s="1"/>
  <c r="P87" i="6"/>
  <c r="AC81" i="6" s="1"/>
  <c r="P84" i="6"/>
  <c r="AA81" i="6" s="1"/>
  <c r="P78" i="6"/>
  <c r="Z74" i="6" s="1"/>
  <c r="P79" i="6"/>
  <c r="Y74" i="6" s="1"/>
  <c r="P80" i="6"/>
  <c r="AC74" i="6" s="1"/>
  <c r="P77" i="6"/>
  <c r="AA74" i="6" s="1"/>
  <c r="Z66" i="6"/>
  <c r="Y66" i="6"/>
  <c r="AC66" i="6"/>
  <c r="AA66" i="6"/>
  <c r="Y57" i="6" l="1"/>
  <c r="Z57" i="6"/>
  <c r="AA57" i="6"/>
  <c r="AC57" i="6"/>
  <c r="AD66" i="6"/>
  <c r="AD81" i="6"/>
  <c r="AD57" i="6" l="1"/>
  <c r="X69" i="6"/>
  <c r="X60" i="6" l="1"/>
  <c r="S47" i="7" l="1"/>
  <c r="R175" i="1"/>
  <c r="T175" i="1" s="1"/>
  <c r="R109" i="1"/>
  <c r="Z7" i="11" l="1"/>
  <c r="Z6" i="11"/>
  <c r="D6" i="11"/>
  <c r="Y4" i="11"/>
  <c r="D4" i="11"/>
  <c r="D10" i="8"/>
  <c r="D8" i="8"/>
  <c r="Q121" i="6"/>
  <c r="R48" i="7"/>
  <c r="R49" i="7"/>
  <c r="R50" i="7"/>
  <c r="R51" i="7"/>
  <c r="R47" i="7"/>
  <c r="R40" i="7"/>
  <c r="R41" i="7"/>
  <c r="R42" i="7"/>
  <c r="R39" i="7"/>
  <c r="P13" i="7"/>
  <c r="S40" i="7"/>
  <c r="S41" i="7"/>
  <c r="S42" i="7"/>
  <c r="S39" i="7"/>
  <c r="I26" i="7"/>
  <c r="M7" i="7"/>
  <c r="M6" i="7"/>
  <c r="D6" i="7"/>
  <c r="L4" i="7"/>
  <c r="D4" i="7"/>
  <c r="N8" i="8"/>
  <c r="R213" i="1"/>
  <c r="R100" i="1"/>
  <c r="R99" i="1"/>
  <c r="R98" i="1"/>
  <c r="R97" i="1"/>
  <c r="R93" i="1"/>
  <c r="R92" i="1"/>
  <c r="R91" i="1"/>
  <c r="R90" i="1"/>
  <c r="R89" i="1"/>
  <c r="R88" i="1"/>
  <c r="R80" i="1"/>
  <c r="R81" i="1"/>
  <c r="R82" i="1"/>
  <c r="R83" i="1"/>
  <c r="R84" i="1"/>
  <c r="R79" i="1"/>
  <c r="T84" i="1" s="1"/>
  <c r="R111" i="1"/>
  <c r="R112" i="1"/>
  <c r="R113" i="1"/>
  <c r="R110" i="1"/>
  <c r="T114" i="1" s="1"/>
  <c r="R133" i="1"/>
  <c r="R132" i="1"/>
  <c r="R131" i="1"/>
  <c r="R130" i="1"/>
  <c r="T133" i="1" s="1"/>
  <c r="R124" i="1"/>
  <c r="R125" i="1"/>
  <c r="R126" i="1"/>
  <c r="R123" i="1"/>
  <c r="R147" i="1"/>
  <c r="R148" i="1"/>
  <c r="R149" i="1"/>
  <c r="R141" i="1"/>
  <c r="R142" i="1"/>
  <c r="R143" i="1"/>
  <c r="R144" i="1"/>
  <c r="R140" i="1"/>
  <c r="R159" i="1"/>
  <c r="R160" i="1"/>
  <c r="R161" i="1"/>
  <c r="R162" i="1"/>
  <c r="R163" i="1"/>
  <c r="R164" i="1"/>
  <c r="R165" i="1"/>
  <c r="R166" i="1"/>
  <c r="R167" i="1"/>
  <c r="R168" i="1"/>
  <c r="R157" i="1"/>
  <c r="R185" i="1"/>
  <c r="R186" i="1"/>
  <c r="R187" i="1"/>
  <c r="R184" i="1"/>
  <c r="R179" i="1"/>
  <c r="R180" i="1"/>
  <c r="R181" i="1"/>
  <c r="R178" i="1"/>
  <c r="R198" i="1"/>
  <c r="R199" i="1"/>
  <c r="R200" i="1"/>
  <c r="R201" i="1"/>
  <c r="R202" i="1"/>
  <c r="R203" i="1"/>
  <c r="R204" i="1"/>
  <c r="R205" i="1"/>
  <c r="R196" i="1"/>
  <c r="T205" i="1" s="1"/>
  <c r="R216" i="1"/>
  <c r="R217" i="1"/>
  <c r="R218" i="1"/>
  <c r="R219" i="1"/>
  <c r="R220" i="1"/>
  <c r="R221" i="1"/>
  <c r="R222" i="1"/>
  <c r="R223" i="1"/>
  <c r="R224" i="1"/>
  <c r="R215" i="1"/>
  <c r="R235" i="1"/>
  <c r="R236" i="1"/>
  <c r="R237" i="1"/>
  <c r="R241" i="1"/>
  <c r="R242" i="1"/>
  <c r="R246" i="1"/>
  <c r="R247" i="1"/>
  <c r="R234" i="1"/>
  <c r="T100" i="1" l="1"/>
  <c r="T224" i="1"/>
  <c r="J226" i="1" s="1"/>
  <c r="T169" i="1"/>
  <c r="T93" i="1"/>
  <c r="T101" i="1" s="1"/>
  <c r="R108" i="1"/>
  <c r="R156" i="1"/>
  <c r="R13" i="7"/>
  <c r="R36" i="7"/>
  <c r="R45" i="7"/>
  <c r="T247" i="1"/>
  <c r="R240" i="1"/>
  <c r="J240" i="1" s="1"/>
  <c r="T151" i="1"/>
  <c r="R245" i="1"/>
  <c r="J245" i="1" s="1"/>
  <c r="R233" i="1"/>
  <c r="C233" i="1" s="1"/>
  <c r="T181" i="1"/>
  <c r="T187" i="1"/>
  <c r="R174" i="1"/>
  <c r="C174" i="1" s="1"/>
  <c r="R195" i="1"/>
  <c r="R87" i="1"/>
  <c r="J87" i="1" s="1"/>
  <c r="R212" i="1"/>
  <c r="C212" i="1" s="1"/>
  <c r="R139" i="1"/>
  <c r="J139" i="1" s="1"/>
  <c r="R121" i="1"/>
  <c r="J121" i="1" s="1"/>
  <c r="R96" i="1"/>
  <c r="J96" i="1" s="1"/>
  <c r="R78" i="1"/>
  <c r="S36" i="7"/>
  <c r="T190" i="1" l="1"/>
  <c r="C195" i="1"/>
  <c r="U205" i="1"/>
  <c r="U101" i="1"/>
  <c r="J156" i="1"/>
  <c r="U169" i="1"/>
  <c r="J108" i="1"/>
  <c r="U114" i="1"/>
  <c r="R51" i="8" s="1"/>
  <c r="J78" i="1"/>
  <c r="S88" i="7"/>
  <c r="R71" i="8"/>
  <c r="R229" i="1"/>
  <c r="U247" i="1" s="1"/>
  <c r="R79" i="8" s="1"/>
  <c r="H87" i="8" s="1"/>
  <c r="C16" i="7" l="1"/>
  <c r="K18" i="8"/>
  <c r="P142" i="6" l="1"/>
  <c r="P133" i="6"/>
  <c r="P127" i="6"/>
  <c r="P153" i="6"/>
  <c r="P154" i="6"/>
  <c r="P155" i="6"/>
  <c r="P152" i="6"/>
  <c r="P151" i="6"/>
  <c r="P150" i="6"/>
  <c r="P145" i="6"/>
  <c r="P144" i="6"/>
  <c r="P143" i="6"/>
  <c r="P121" i="6"/>
  <c r="L149" i="6" s="1"/>
  <c r="I149" i="6" l="1"/>
  <c r="P149" i="6"/>
  <c r="L141" i="6"/>
  <c r="U155" i="6"/>
  <c r="P40" i="6"/>
  <c r="P137" i="6"/>
  <c r="P136" i="6"/>
  <c r="P135" i="6"/>
  <c r="P134" i="6"/>
  <c r="P129" i="6"/>
  <c r="P128" i="6"/>
  <c r="E101" i="6"/>
  <c r="E102" i="6"/>
  <c r="E103" i="6"/>
  <c r="E100" i="6"/>
  <c r="E104" i="6" s="1"/>
  <c r="P104" i="6" s="1"/>
  <c r="I141" i="6" l="1"/>
  <c r="S139" i="6" s="1"/>
  <c r="P141" i="6"/>
  <c r="S141" i="6" s="1"/>
  <c r="S145" i="6" s="1"/>
  <c r="S149" i="6"/>
  <c r="S155" i="6" s="1"/>
  <c r="S147" i="6"/>
  <c r="S137" i="6"/>
  <c r="E108" i="6" l="1"/>
  <c r="E106" i="6"/>
  <c r="U137" i="6"/>
  <c r="U157" i="6" s="1"/>
  <c r="S136" i="6"/>
  <c r="W158" i="6"/>
  <c r="R184" i="6" l="1"/>
  <c r="E181" i="6" s="1"/>
  <c r="U159" i="6"/>
  <c r="P75" i="6"/>
  <c r="P32" i="6"/>
  <c r="P31" i="6"/>
  <c r="P30" i="6"/>
  <c r="P29" i="6"/>
  <c r="P25" i="6"/>
  <c r="P24" i="6"/>
  <c r="P23" i="6"/>
  <c r="U59" i="6"/>
  <c r="Q71" i="6"/>
  <c r="P71" i="6"/>
  <c r="T71" i="6" s="1"/>
  <c r="P57" i="6"/>
  <c r="X61" i="6" s="1"/>
  <c r="Q34" i="6" l="1"/>
  <c r="X94" i="6" s="1"/>
  <c r="R34" i="6"/>
  <c r="T34" i="6" s="1"/>
  <c r="R181" i="6" s="1"/>
  <c r="E172" i="6" s="1"/>
  <c r="U78" i="6"/>
  <c r="S62" i="6"/>
  <c r="T62" i="6" s="1"/>
  <c r="P53" i="6"/>
  <c r="P52" i="6"/>
  <c r="P51" i="6"/>
  <c r="P50" i="6"/>
  <c r="P41" i="6"/>
  <c r="P42" i="6"/>
  <c r="P43" i="6"/>
  <c r="P44" i="6"/>
  <c r="P45" i="6"/>
  <c r="P46" i="6"/>
  <c r="P82" i="6"/>
  <c r="X82" i="6" s="1"/>
  <c r="X84" i="6" s="1"/>
  <c r="X85" i="6" s="1"/>
  <c r="P64" i="6"/>
  <c r="Q55" i="6" s="1"/>
  <c r="AA98" i="6" l="1"/>
  <c r="Z99" i="6"/>
  <c r="Z101" i="6"/>
  <c r="AA99" i="6"/>
  <c r="Z100" i="6"/>
  <c r="Y97" i="6"/>
  <c r="AA100" i="6"/>
  <c r="AA101" i="6"/>
  <c r="AA97" i="6"/>
  <c r="Z97" i="6"/>
  <c r="Z98" i="6"/>
  <c r="Y98" i="6"/>
  <c r="Y99" i="6"/>
  <c r="Y100" i="6"/>
  <c r="Y101" i="6"/>
  <c r="U88" i="6"/>
  <c r="S69" i="6"/>
  <c r="T69" i="6" s="1"/>
  <c r="T72" i="6" s="1"/>
  <c r="X70" i="6"/>
  <c r="P88" i="6"/>
  <c r="U77" i="6" s="1"/>
  <c r="U79" i="6" s="1"/>
  <c r="H74" i="6" s="1"/>
  <c r="X75" i="6"/>
  <c r="U57" i="6"/>
  <c r="U60" i="6" s="1"/>
  <c r="H72" i="6" s="1"/>
  <c r="Q53" i="6"/>
  <c r="Y102" i="6" l="1"/>
  <c r="Y103" i="6" s="1"/>
  <c r="Y104" i="6" s="1"/>
  <c r="Z102" i="6"/>
  <c r="Z103" i="6" s="1"/>
  <c r="Z104" i="6" s="1"/>
  <c r="AA102" i="6"/>
  <c r="AA103" i="6" s="1"/>
  <c r="H56" i="6"/>
  <c r="G108" i="6" l="1"/>
  <c r="AA104" i="6"/>
  <c r="Y107" i="6" s="1"/>
  <c r="G106" i="6"/>
  <c r="G104" i="6"/>
  <c r="AD74" i="6"/>
  <c r="X77" i="6" s="1"/>
  <c r="X78" i="6" s="1"/>
  <c r="X87" i="6" s="1"/>
  <c r="T87" i="6" s="1"/>
  <c r="K7" i="6" l="1"/>
  <c r="O11" i="8" s="1"/>
  <c r="K6" i="6"/>
  <c r="O10" i="8" s="1"/>
  <c r="N93" i="6" l="1"/>
  <c r="P93" i="6" s="1"/>
  <c r="P111" i="6" s="1"/>
  <c r="N15" i="6"/>
  <c r="P15" i="6" s="1"/>
  <c r="N116" i="6"/>
  <c r="H120" i="6" s="1"/>
  <c r="U87" i="6" l="1"/>
  <c r="U89" i="6" s="1"/>
  <c r="R23" i="8" s="1"/>
  <c r="C17" i="6"/>
  <c r="P116" i="6"/>
  <c r="C118" i="6" s="1"/>
  <c r="K23" i="8"/>
  <c r="R162" i="6"/>
  <c r="D6" i="6"/>
  <c r="J4" i="6"/>
  <c r="D4" i="6"/>
  <c r="R163" i="6" l="1"/>
  <c r="D163" i="6" s="1"/>
  <c r="S162" i="6"/>
  <c r="D162" i="6" s="1"/>
  <c r="C95" i="6"/>
  <c r="R169" i="6"/>
  <c r="D169" i="6" s="1"/>
  <c r="K33" i="8"/>
  <c r="U158" i="6"/>
  <c r="K28" i="8"/>
  <c r="R168" i="6"/>
  <c r="D168" i="6" s="1"/>
  <c r="D87" i="8"/>
  <c r="K56" i="1"/>
  <c r="K48" i="1"/>
  <c r="K40" i="1"/>
  <c r="K32" i="1"/>
  <c r="C26" i="8" l="1"/>
  <c r="R178" i="6"/>
  <c r="D178" i="6" s="1"/>
  <c r="V159" i="6"/>
  <c r="R33" i="8" s="1"/>
  <c r="C31" i="8"/>
  <c r="R28" i="8"/>
  <c r="AG22" i="11"/>
  <c r="AG24" i="11"/>
  <c r="AG26" i="11"/>
  <c r="AN22" i="11"/>
  <c r="AN24" i="11"/>
  <c r="AN26" i="11"/>
  <c r="AS22" i="11"/>
  <c r="AS24" i="11"/>
  <c r="AS26" i="11"/>
  <c r="N19" i="7"/>
  <c r="S29" i="7" s="1"/>
  <c r="V88" i="7" s="1"/>
  <c r="S49" i="7"/>
  <c r="S51" i="7"/>
  <c r="AI22" i="11"/>
  <c r="AL22" i="11"/>
  <c r="AM22" i="11"/>
  <c r="AQ22" i="11"/>
  <c r="AR22" i="11"/>
  <c r="AH24" i="11"/>
  <c r="AI24" i="11"/>
  <c r="AL24" i="11"/>
  <c r="AM24" i="11"/>
  <c r="AQ24" i="11"/>
  <c r="AR24" i="11"/>
  <c r="AH26" i="11"/>
  <c r="AI26" i="11"/>
  <c r="AL26" i="11"/>
  <c r="AM26" i="11"/>
  <c r="AQ26" i="11"/>
  <c r="AR26" i="11"/>
  <c r="AG28" i="11"/>
  <c r="AH28" i="11"/>
  <c r="AI28" i="11"/>
  <c r="AL28" i="11"/>
  <c r="AM28" i="11"/>
  <c r="AN28" i="11"/>
  <c r="AQ28" i="11"/>
  <c r="AR28" i="11"/>
  <c r="AS28" i="11"/>
  <c r="AG30" i="11"/>
  <c r="AI30" i="11"/>
  <c r="AH30" i="11"/>
  <c r="AN30" i="11"/>
  <c r="AS30" i="11"/>
  <c r="AL30" i="11"/>
  <c r="AM30" i="11"/>
  <c r="AQ30" i="11"/>
  <c r="AR30" i="11"/>
  <c r="AG32" i="11"/>
  <c r="AH32" i="11"/>
  <c r="AI32" i="11"/>
  <c r="AL32" i="11"/>
  <c r="AM32" i="11"/>
  <c r="AN32" i="11"/>
  <c r="AQ32" i="11"/>
  <c r="AR32" i="11"/>
  <c r="AS32" i="11"/>
  <c r="AG34" i="11"/>
  <c r="AH34" i="11"/>
  <c r="AI34" i="11"/>
  <c r="AL34" i="11"/>
  <c r="AM34" i="11"/>
  <c r="AN34" i="11"/>
  <c r="AQ34" i="11"/>
  <c r="AR34" i="11"/>
  <c r="AS34" i="11"/>
  <c r="AG36" i="11"/>
  <c r="AH36" i="11"/>
  <c r="AI36" i="11"/>
  <c r="AL36" i="11"/>
  <c r="AM36" i="11"/>
  <c r="AN36" i="11"/>
  <c r="AQ36" i="11"/>
  <c r="AR36" i="11"/>
  <c r="AS36" i="11"/>
  <c r="AG38" i="11"/>
  <c r="AH38" i="11"/>
  <c r="AI38" i="11"/>
  <c r="AL38" i="11"/>
  <c r="AM38" i="11"/>
  <c r="AN38" i="11"/>
  <c r="AQ38" i="11"/>
  <c r="AR38" i="11"/>
  <c r="AS38" i="11"/>
  <c r="AG40" i="11"/>
  <c r="AH40" i="11"/>
  <c r="AI40" i="11"/>
  <c r="AL40" i="11"/>
  <c r="AM40" i="11"/>
  <c r="AQ40" i="11"/>
  <c r="AN40" i="11"/>
  <c r="AR40" i="11"/>
  <c r="AS40" i="11"/>
  <c r="AG42" i="11"/>
  <c r="AH42" i="11"/>
  <c r="AI42" i="11"/>
  <c r="AL42" i="11"/>
  <c r="AM42" i="11"/>
  <c r="AN42" i="11"/>
  <c r="AQ42" i="11"/>
  <c r="AR42" i="11"/>
  <c r="AS42" i="11"/>
  <c r="S48" i="7"/>
  <c r="S50" i="7"/>
  <c r="R30" i="1"/>
  <c r="R38" i="1"/>
  <c r="R46" i="1"/>
  <c r="AT42" i="11" l="1"/>
  <c r="AJ34" i="11"/>
  <c r="AT28" i="11"/>
  <c r="AO26" i="11"/>
  <c r="AJ24" i="11"/>
  <c r="AO32" i="11"/>
  <c r="AT26" i="11"/>
  <c r="AO24" i="11"/>
  <c r="AJ22" i="11"/>
  <c r="AT40" i="11"/>
  <c r="AO42" i="11"/>
  <c r="AO28" i="11"/>
  <c r="AJ28" i="11"/>
  <c r="AT22" i="11"/>
  <c r="AJ26" i="11"/>
  <c r="S52" i="7"/>
  <c r="S45" i="7" s="1"/>
  <c r="V89" i="7" s="1"/>
  <c r="R177" i="6"/>
  <c r="D177" i="6" s="1"/>
  <c r="C36" i="8" s="1"/>
  <c r="J188" i="1"/>
  <c r="AO30" i="11"/>
  <c r="AJ30" i="11"/>
  <c r="AO40" i="11"/>
  <c r="AO38" i="11"/>
  <c r="AT32" i="11"/>
  <c r="AT38" i="11"/>
  <c r="AT34" i="11"/>
  <c r="AJ40" i="11"/>
  <c r="AJ38" i="11"/>
  <c r="AJ42" i="11"/>
  <c r="AJ36" i="11"/>
  <c r="J248" i="1"/>
  <c r="R127" i="1"/>
  <c r="AT36" i="11"/>
  <c r="AO34" i="11"/>
  <c r="AV26" i="11"/>
  <c r="R63" i="8"/>
  <c r="AJ32" i="11"/>
  <c r="AO36" i="11"/>
  <c r="AT30" i="11"/>
  <c r="U190" i="1"/>
  <c r="R67" i="8" s="1"/>
  <c r="M87" i="8" s="1"/>
  <c r="AT24" i="11"/>
  <c r="AV24" i="11" s="1"/>
  <c r="AO22" i="11"/>
  <c r="J127" i="1" l="1"/>
  <c r="T134" i="1"/>
  <c r="AV38" i="11"/>
  <c r="AV42" i="11"/>
  <c r="AV32" i="11"/>
  <c r="AV28" i="11"/>
  <c r="AV22" i="11"/>
  <c r="S54" i="7"/>
  <c r="C53" i="7" s="1"/>
  <c r="V95" i="7"/>
  <c r="E88" i="7" s="1"/>
  <c r="C88" i="8"/>
  <c r="U224" i="1"/>
  <c r="U134" i="1"/>
  <c r="R55" i="8" s="1"/>
  <c r="AV47" i="11"/>
  <c r="M11" i="11" s="1"/>
  <c r="J206" i="1"/>
  <c r="J225" i="1"/>
  <c r="AV30" i="11"/>
  <c r="AV36" i="11"/>
  <c r="AV34" i="11"/>
  <c r="AV40" i="11"/>
  <c r="AJ44" i="11"/>
  <c r="AO44" i="11"/>
  <c r="AT44" i="11"/>
  <c r="J87" i="8"/>
  <c r="O87" i="8"/>
  <c r="R47" i="8"/>
  <c r="R18" i="8" l="1"/>
  <c r="C87" i="8" s="1"/>
  <c r="V96" i="7"/>
  <c r="AV45" i="11"/>
  <c r="N87" i="8"/>
  <c r="K87" i="8"/>
  <c r="AV44" i="11"/>
  <c r="G46" i="11" s="1"/>
  <c r="E87" i="8"/>
  <c r="J189" i="1"/>
  <c r="E89" i="7" l="1"/>
  <c r="C21" i="8" s="1"/>
  <c r="F87" i="8"/>
  <c r="G47" i="11"/>
  <c r="AV46" i="11"/>
  <c r="R75" i="8" s="1"/>
  <c r="P87" i="8" s="1"/>
  <c r="I87" i="8"/>
  <c r="U151" i="1"/>
  <c r="R59" i="8" s="1"/>
  <c r="G87" i="8" l="1"/>
  <c r="L87" i="8" l="1"/>
</calcChain>
</file>

<file path=xl/sharedStrings.xml><?xml version="1.0" encoding="utf-8"?>
<sst xmlns="http://schemas.openxmlformats.org/spreadsheetml/2006/main" count="1156" uniqueCount="615">
  <si>
    <t>SEPARAZIONE</t>
  </si>
  <si>
    <t>MANIPOLAZIONE DIRETTA  SENZA   DPI</t>
  </si>
  <si>
    <t>25 KG</t>
  </si>
  <si>
    <t>20 KG</t>
  </si>
  <si>
    <t>15 KG</t>
  </si>
  <si>
    <t>X</t>
  </si>
  <si>
    <t>SI</t>
  </si>
  <si>
    <t>PUNTEGGIO</t>
  </si>
  <si>
    <t>PARZIALE</t>
  </si>
  <si>
    <t>TOTALE</t>
  </si>
  <si>
    <t>M</t>
  </si>
  <si>
    <t>F</t>
  </si>
  <si>
    <t>A</t>
  </si>
  <si>
    <t>B</t>
  </si>
  <si>
    <t>B1</t>
  </si>
  <si>
    <t>NO</t>
  </si>
  <si>
    <t>B2</t>
  </si>
  <si>
    <t>B3</t>
  </si>
  <si>
    <t>B4</t>
  </si>
  <si>
    <t>B5</t>
  </si>
  <si>
    <t>C</t>
  </si>
  <si>
    <t>D</t>
  </si>
  <si>
    <t>E</t>
  </si>
  <si>
    <t>G</t>
  </si>
  <si>
    <t>H</t>
  </si>
  <si>
    <t>INQUINAMENTO</t>
  </si>
  <si>
    <t>MAX 8</t>
  </si>
  <si>
    <t>MAX 4</t>
  </si>
  <si>
    <t>MAX 9</t>
  </si>
  <si>
    <t>I</t>
  </si>
  <si>
    <t>L</t>
  </si>
  <si>
    <t>x</t>
  </si>
  <si>
    <t>%</t>
  </si>
  <si>
    <t>Interv immediati</t>
  </si>
  <si>
    <t>Priorità</t>
  </si>
  <si>
    <t>ESITO</t>
  </si>
  <si>
    <t>Elevato/elevatissimo</t>
  </si>
  <si>
    <t>Medio</t>
  </si>
  <si>
    <t>Basso</t>
  </si>
  <si>
    <t>Rischio intrinseco</t>
  </si>
  <si>
    <t>0=basso;
1=medio;
2=elevato</t>
  </si>
  <si>
    <t>Modalità</t>
  </si>
  <si>
    <t>Chiuso</t>
  </si>
  <si>
    <t>Controllato</t>
  </si>
  <si>
    <t>Aperto</t>
  </si>
  <si>
    <t>Modalità:
0=basso;
1=medio;
2=elevato</t>
  </si>
  <si>
    <t>frequenza;
0=bassa;
1=media;
2=elevata</t>
  </si>
  <si>
    <t>sporadico</t>
  </si>
  <si>
    <t>poco</t>
  </si>
  <si>
    <t>tanto</t>
  </si>
  <si>
    <t>Rischio intr</t>
  </si>
  <si>
    <t>freq</t>
  </si>
  <si>
    <t>MAX</t>
  </si>
  <si>
    <t>-</t>
  </si>
  <si>
    <t>Compl dati</t>
  </si>
  <si>
    <t>Max</t>
  </si>
  <si>
    <t>Per sintesi</t>
  </si>
  <si>
    <t>Completare</t>
  </si>
  <si>
    <t>SI/NO</t>
  </si>
  <si>
    <t>processing</t>
  </si>
  <si>
    <t>YES</t>
  </si>
  <si>
    <t>HORIZONTAL DISTANCE</t>
  </si>
  <si>
    <t>FREQUENCY</t>
  </si>
  <si>
    <t>SUMMARY OF PRE-ASSESSMENT AND INTERVENTION PRIORITIES</t>
  </si>
  <si>
    <t>SUMMARY OF PREASSESSMENT AND INTERVENTION PRIORITIES</t>
  </si>
  <si>
    <t>BIOMECHANICAL OVERLAOD FROM MANUAL PULLING AND PUSHING</t>
  </si>
  <si>
    <t>company</t>
  </si>
  <si>
    <t>GROSS shift average duration (in minutes)</t>
  </si>
  <si>
    <t>cleaning</t>
  </si>
  <si>
    <t>other</t>
  </si>
  <si>
    <t>NOISE</t>
  </si>
  <si>
    <t>ISSUES RELATED TO POLLUTING AGENTS</t>
  </si>
  <si>
    <t>PRESENCE OF POLLUTING AGENTS</t>
  </si>
  <si>
    <t>QUALI- QUANTITATIVE IDENTIFICATION OF PRESENT CHEMICAL AGENTS OR AGENTS GENERATED IN PROCESSING</t>
  </si>
  <si>
    <t>HEALTH RISKS FROM ACUTE EXPOSURE</t>
  </si>
  <si>
    <t>HEALTH RISKS FROM CHRONICAL EXPOSURE</t>
  </si>
  <si>
    <t>RISKS FOR SAFETY</t>
  </si>
  <si>
    <t>EXTREMELY HIGH</t>
  </si>
  <si>
    <t>HIGH</t>
  </si>
  <si>
    <t>MEDIUM</t>
  </si>
  <si>
    <t>LOW</t>
  </si>
  <si>
    <t>SENSITIZATION RISK</t>
  </si>
  <si>
    <t>SENZITIZATION RISK</t>
  </si>
  <si>
    <t>VERY TOXIC</t>
  </si>
  <si>
    <t>TOXIC</t>
  </si>
  <si>
    <t>CORROSIVE</t>
  </si>
  <si>
    <t>HARMFUL</t>
  </si>
  <si>
    <t>IRRITATING</t>
  </si>
  <si>
    <t>SENSITIZING</t>
  </si>
  <si>
    <t>EXPLOSION</t>
  </si>
  <si>
    <t>EXTREMELY INFLAMABLE</t>
  </si>
  <si>
    <t>COMBUSTIVE</t>
  </si>
  <si>
    <t>INFLAMABLE</t>
  </si>
  <si>
    <t>ACIDS</t>
  </si>
  <si>
    <t>BASES</t>
  </si>
  <si>
    <t>FUELS</t>
  </si>
  <si>
    <t>ORGANIC COMPOUNDS</t>
  </si>
  <si>
    <t>DUSTS</t>
  </si>
  <si>
    <t>GAS FUMES</t>
  </si>
  <si>
    <t>PLASTIC MATERIALS</t>
  </si>
  <si>
    <t>METALLOIDS AND METALS</t>
  </si>
  <si>
    <t>ODIXANTS</t>
  </si>
  <si>
    <t>PESTICIDES</t>
  </si>
  <si>
    <t>SOLVENTS</t>
  </si>
  <si>
    <t>GAS-FUMES</t>
  </si>
  <si>
    <t>OXIDANTS</t>
  </si>
  <si>
    <t>Company</t>
  </si>
  <si>
    <t xml:space="preserve"> BIOMECHANICAL OVERLOAD OF UPPER LIMBS IN REPETITIVE TASKS</t>
  </si>
  <si>
    <t>OUTSIDE WORK RELATED PROBLEMS - UV RADIATIONS</t>
  </si>
  <si>
    <t xml:space="preserve"> ORGANIZATIONAL PROBLEMS</t>
  </si>
  <si>
    <t>BIOMECHANICAL OVERLOAD FROM LOAD MANUAL LIFTING</t>
  </si>
  <si>
    <t>COMPANY DATA AND TASKS CONSIDERED</t>
  </si>
  <si>
    <t>productive sector</t>
  </si>
  <si>
    <t>address</t>
  </si>
  <si>
    <t>BIOMECHANICAL OVERLOAD OF UPPER LIMBS IN REPETITIVE TASKS</t>
  </si>
  <si>
    <t>BIOMECHANICAL OVERLOAD</t>
  </si>
  <si>
    <t>GENERAL LIGHTING: JUDGEMENT VERSUS VISUAL EFFORT DEMAND AT WORK</t>
  </si>
  <si>
    <t>SUFFICIENT</t>
  </si>
  <si>
    <t>IN SOME HOURS OF THE DAY</t>
  </si>
  <si>
    <t>ALL DAY LONG</t>
  </si>
  <si>
    <t>POOR :</t>
  </si>
  <si>
    <t>EXCESSIVE:</t>
  </si>
  <si>
    <t>ARTIFICIAL LIGHTING: NEEDED BUT  UNAVAILABLE</t>
  </si>
  <si>
    <t>NEEDED  BUT UNAVAILABLE</t>
  </si>
  <si>
    <t>SUPERFACES OF OJECTS BEING PROCESSED</t>
  </si>
  <si>
    <t>BRIGHT AND REFLECTING</t>
  </si>
  <si>
    <t>OPAQUE</t>
  </si>
  <si>
    <t>SURFACES OF WORK  TOPS</t>
  </si>
  <si>
    <t>OCCASIONAL OUTSIDE WORK</t>
  </si>
  <si>
    <t>OUTSIDE WORK FOR A SIGNIFICANT PART OF THE YEAR (1/3)</t>
  </si>
  <si>
    <t>OUTSIDE WORK  FOR MORE THAN HALF THE YEAR  (2/3)</t>
  </si>
  <si>
    <t>OUTSIDE WORK FOR NEARLY ALL YEAR LONG (3/3)</t>
  </si>
  <si>
    <t>IT  DOES NOT BOTHER</t>
  </si>
  <si>
    <t>IT BOTHERS A LITTLE, IT IS POSSIBLE TO TALK TO COLLEAGUES</t>
  </si>
  <si>
    <t>IT IS MADDENING,  IT IS DIFFICULT TO TALK TO COLLEAGUES</t>
  </si>
  <si>
    <t>the task asks for oral communication with colleagues</t>
  </si>
  <si>
    <t>the task does not ask for any oral communication with colleagues</t>
  </si>
  <si>
    <t>IT IS HOT:</t>
  </si>
  <si>
    <t>ONLY IN SUMMER</t>
  </si>
  <si>
    <t>ALL THE YEAR LONG</t>
  </si>
  <si>
    <t>ONLY IN WINTER</t>
  </si>
  <si>
    <t>HEAVY</t>
  </si>
  <si>
    <t>ASK FOR STRENGTH</t>
  </si>
  <si>
    <t>NOT WORKING WELL</t>
  </si>
  <si>
    <t>THEY OVERHEAT EASILY</t>
  </si>
  <si>
    <t>ASKS FOR EXCESSIVE ATTENTION</t>
  </si>
  <si>
    <t>USE OF BODY PARTS AS EQUIPMENT WITH CONSEQUENT LESIONS (CALLOSITY, RASH, CUTS, ETC.)</t>
  </si>
  <si>
    <t>the task involves the use of vibrating tools</t>
  </si>
  <si>
    <t>OCCASIONAL USE</t>
  </si>
  <si>
    <t>USE OF SCREWERS FOR AT LEAST  1/3 OF TIME</t>
  </si>
  <si>
    <t>USE OF GRINDERS/CUTTERS/POLISHERS FOR AT LEAST   1/3 OF TIME</t>
  </si>
  <si>
    <t>USE OF PNEUMATIC HAMMERS FOR AT LEAST   1/3 OF TIME</t>
  </si>
  <si>
    <t>OCCASIONAL DRIVING</t>
  </si>
  <si>
    <t>DRIVING FOR MOST OF THE TIME OF CARS, MOTORCYCLES, VANS</t>
  </si>
  <si>
    <t>DRIVING FOR MOST OF THE TIME OF TRUCKS, BUSES</t>
  </si>
  <si>
    <t>DRIVING FOR MOST TIME OF TRACTORS, AGRICULTURAL MEANS, SCRAPERS, DIGGERS</t>
  </si>
  <si>
    <t>NOISY</t>
  </si>
  <si>
    <t>LIMITED SPACE AROUND MACHINERY</t>
  </si>
  <si>
    <t>MAY PRODUCE LESIONS (CUTTING, ABRASIONE, SKIN FRITCIONS, BURNS, ETC.)</t>
  </si>
  <si>
    <t>DUSTS: which ones</t>
  </si>
  <si>
    <t>FUMES: which ones</t>
  </si>
  <si>
    <t>UNPLEASANT SMELLS: which ones</t>
  </si>
  <si>
    <t>CHEMICALS: which ones</t>
  </si>
  <si>
    <t>OTHERS: which ones</t>
  </si>
  <si>
    <t>PRESENT</t>
  </si>
  <si>
    <t>HIGH PRESENCE</t>
  </si>
  <si>
    <t>SHIFTWORK</t>
  </si>
  <si>
    <t>WORK RATE</t>
  </si>
  <si>
    <t>WORK DURATION</t>
  </si>
  <si>
    <t>ONLY ONE DAILY SHIFT</t>
  </si>
  <si>
    <t>SEVERAL DAILY SHIFTS</t>
  </si>
  <si>
    <t>ONLY NIGHT SHIFTS</t>
  </si>
  <si>
    <t>SEVERAL SHIFTS ALSO AT NIGHT</t>
  </si>
  <si>
    <t>FREE</t>
  </si>
  <si>
    <t>IMPOSED BY MACHINERY</t>
  </si>
  <si>
    <t>NO MORE THAN 8 HOURS PER SHIFT</t>
  </si>
  <si>
    <t>MORE THAN 8 HOURS PER SHIFT</t>
  </si>
  <si>
    <t>other details</t>
  </si>
  <si>
    <t xml:space="preserve"> YES</t>
  </si>
  <si>
    <t>BIOMECHANICAL OVERLOAD FROM MANUAL HANDLING - LIFTING</t>
  </si>
  <si>
    <t>BIOMECHANICAL OVERLOAD FROM MANUAL HANDLING - CARRYING</t>
  </si>
  <si>
    <t>PRESENCE OF OBJECTS EXCEEDING 3 KG TO BE MANUALLY CARRIED (if the loads are less, no need to continue the investigation).</t>
  </si>
  <si>
    <t>LOCALIZED LIGHTING. JUDGEMENT VERSUS VISUAL EFFORT DEMAND AT WORK</t>
  </si>
  <si>
    <t>KEY-QUESTIONS FOR IDENTIFICATION OF INSIDE LIGHTING PROBLEMS</t>
  </si>
  <si>
    <t>KEY-QUESTIONS FOR IDENTIFICATION OF OUTSIDE WORK-RELATED PROBLEMS - UV RADIATIONS</t>
  </si>
  <si>
    <t>DESCRIPTION OF NON REPETITIVE WORKS, THEIR DURATION AND TIMING OF BREAKS - TOTAL DURATION</t>
  </si>
  <si>
    <t>Total duration of non repetitive work per shift (in minutes)</t>
  </si>
  <si>
    <t xml:space="preserve">CHECK / IDENTIFICATION  OF PRIORITIES FOR BIOMECHANICAL OVERLOAD </t>
  </si>
  <si>
    <t>REPETITIVE MOV</t>
  </si>
  <si>
    <t>LIFTING</t>
  </si>
  <si>
    <t>CARRYING</t>
  </si>
  <si>
    <t>POSTURES</t>
  </si>
  <si>
    <t>ORGANIZATIONAL</t>
  </si>
  <si>
    <t>LIGHTING</t>
  </si>
  <si>
    <t>RADIATION UV</t>
  </si>
  <si>
    <t>MICROCLIMATE</t>
  </si>
  <si>
    <t>VIBRATIONS</t>
  </si>
  <si>
    <t>EQUIPMENTS AND TOOLS</t>
  </si>
  <si>
    <t>MACHINERY</t>
  </si>
  <si>
    <t>POLLUTTANTS OR OTHERS</t>
  </si>
  <si>
    <t>PUSH-PULL</t>
  </si>
  <si>
    <t>BIOMECHANICAL OVERLOAD FROM MANUAL PUSHING AND PULLING</t>
  </si>
  <si>
    <t>ADEQUATE AND IN GOOD CONDITIONS OF MAINTENANCE</t>
  </si>
  <si>
    <t>Does the task(s) with manual lifting or carrying last more than 8 hours a day?</t>
  </si>
  <si>
    <t>WORKING PROCESS</t>
  </si>
  <si>
    <t>BRIERF DESCRIPTION OF THE WORKING PROCESS FOR CHARACTERIZING WORKER'S EXPOSURE</t>
  </si>
  <si>
    <t>WAY OF EXPOSURE</t>
  </si>
  <si>
    <t>FREQUENCY OF EXPOSURE</t>
  </si>
  <si>
    <t>CLOSED CYCLE</t>
  </si>
  <si>
    <t>CONTROLLED CYCLE</t>
  </si>
  <si>
    <t>OPEN CYCLE</t>
  </si>
  <si>
    <t xml:space="preserve"> OCCASIONAL
(not every day)</t>
  </si>
  <si>
    <t>low but every day</t>
  </si>
  <si>
    <t>high every day</t>
  </si>
  <si>
    <t>COMPLETE</t>
  </si>
  <si>
    <t>DIRECT CONTACT AND MANIPULATION</t>
  </si>
  <si>
    <t>to keep in observation</t>
  </si>
  <si>
    <t>withim brief period</t>
  </si>
  <si>
    <t>to evaluate but not urgent</t>
  </si>
  <si>
    <t>NOTE</t>
  </si>
  <si>
    <t>NEED USE OF FORCE</t>
  </si>
  <si>
    <t>ASPIRATION</t>
  </si>
  <si>
    <t>LIFTING OF HEAVY COMPONENTS</t>
  </si>
  <si>
    <t>WORKING OUTSIDE WITH EXPOSURE TO EXTERNAL CLIMATE</t>
  </si>
  <si>
    <t>ONLY DURING SUMMER</t>
  </si>
  <si>
    <t>ONLY DURING WINTER</t>
  </si>
  <si>
    <t>ALL THE YEAR</t>
  </si>
  <si>
    <t>note</t>
  </si>
  <si>
    <r>
      <t>PRESENCE OF REPETITIVE TASK.</t>
    </r>
    <r>
      <rPr>
        <sz val="12"/>
        <rFont val="Arial Narrow"/>
        <family val="2"/>
      </rPr>
      <t xml:space="preserve"> the task is organized in cycles, regardless of their duration, or the task is characterized by similar working gestures for over 50% of time. The term does not mean presence of risk.</t>
    </r>
  </si>
  <si>
    <r>
      <t xml:space="preserve">PRESENCE OF OBJECTS WEIGHTING MORE THAN (OR EQUAL TO) 3 KG TO BE MANUALLY LIFTED </t>
    </r>
    <r>
      <rPr>
        <sz val="12"/>
        <rFont val="Arial Narrow"/>
        <family val="2"/>
      </rPr>
      <t>(if the weight is less, no need to continue the  investigation)</t>
    </r>
  </si>
  <si>
    <t xml:space="preserve">BIOMECHANICAL OVERLOAD FROM AWKWARD POSTURES - TRUNK AND LOWER LIMBS </t>
  </si>
  <si>
    <t>% time</t>
  </si>
  <si>
    <t>present?</t>
  </si>
  <si>
    <t>NOT FIT FOR SPECIFIC USE AND/OR TECHNOLOGICALLY BACKWARD</t>
  </si>
  <si>
    <t>NEEDS EXCESSIVE ATTENTION</t>
  </si>
  <si>
    <t>MAY PRODUCE LESIONS(CUTS, ABRASIONS, SKIN FRICTION, BURNS……)</t>
  </si>
  <si>
    <t>CUMBERSOME AND/OR HARD TO BE GRASPED</t>
  </si>
  <si>
    <t>IT IS COLD:</t>
  </si>
  <si>
    <t>RATHER GOOD ALL YEAR LONG</t>
  </si>
  <si>
    <t>IT DOES NOT BOTHER</t>
  </si>
  <si>
    <t>IT IS VERY HIGH, IT IS IMPOSSIBLE TO TALK TO CELLEAGUES</t>
  </si>
  <si>
    <t xml:space="preserve"> IS THERE WHOLE-BODY PUSHING OR PULLING OF LOADS PRESENT?</t>
  </si>
  <si>
    <t>supply</t>
  </si>
  <si>
    <t>Males</t>
  </si>
  <si>
    <t>Females</t>
  </si>
  <si>
    <t>SHEET 1: Identification of main problems</t>
  </si>
  <si>
    <t>Does the task(s) with manual pushing and pulling last up to 8 hours a day?</t>
  </si>
  <si>
    <t>The push-or-pull force is applied to the object between hip and mid-chest level.</t>
  </si>
  <si>
    <t>The push-or-pull action is performed with an upright trunk (not twisted or bent).</t>
  </si>
  <si>
    <t>The push-or-pull action is performed with the trunk significantly bent or twisted.</t>
  </si>
  <si>
    <t>The push-or-pull action is performed in a jerky manner or in an uncontrolled way.</t>
  </si>
  <si>
    <t>MECHANICAL OVERLOAD FROM LOAD MANUAL CARRYING</t>
  </si>
  <si>
    <t>Are floor surfaces slippery, not stable, uneven, have an upward or downward slope or are fissured, cracked or broken?</t>
  </si>
  <si>
    <t>Are restricted or constrained movement paths present?</t>
  </si>
  <si>
    <t>Is the temperature of the working area high?</t>
  </si>
  <si>
    <t xml:space="preserve">Is the object unstable? </t>
  </si>
  <si>
    <t>Are the wheels or casters unsuitable for the work conditions?</t>
  </si>
  <si>
    <t>Is the working environment unfavourable for manual lifting and carrying?</t>
  </si>
  <si>
    <t>Presence of extreme (low or high) temperature</t>
  </si>
  <si>
    <t>Presence of slippery, uneven, unstable floor</t>
  </si>
  <si>
    <t>Presence of insufficient space for lifting and carrying</t>
  </si>
  <si>
    <t>Are there unfavorable object characteristics for manual lifting and carrying?</t>
  </si>
  <si>
    <t>The size of object reduces the operator’s view and hinder movement</t>
  </si>
  <si>
    <t>The centre of gravity of the load is not stable (example: liquids, items moving around inside of object)</t>
  </si>
  <si>
    <t>The object shape/configuration presents sharp edges, surfaces or protrusions</t>
  </si>
  <si>
    <t>The contact surfaces are too cold or too hot</t>
  </si>
  <si>
    <t xml:space="preserve">SHEET 3: Quick assessment of manual handling </t>
  </si>
  <si>
    <t>SHEET 2: Quick assessment of repetitive tasks</t>
  </si>
  <si>
    <t>Task lay-out and frequency</t>
  </si>
  <si>
    <t>VERTICAL LOCATION</t>
  </si>
  <si>
    <t>VERTICAL DISPLACEMENT</t>
  </si>
  <si>
    <t>ASIMMETRY</t>
  </si>
  <si>
    <t>BIOMECHANICAL OVERLOAD FROM MANUAL LIFTING LOADS</t>
  </si>
  <si>
    <t>No</t>
  </si>
  <si>
    <t>Yes</t>
  </si>
  <si>
    <t>Presence of loads exceeding the following limits</t>
  </si>
  <si>
    <t>men (18-45 years)</t>
  </si>
  <si>
    <t>women (18-45 years)</t>
  </si>
  <si>
    <t>men (&lt;18 or &gt;45 years)</t>
  </si>
  <si>
    <t>women (&lt;18 or &gt;45 years)</t>
  </si>
  <si>
    <t>Asymmetry (e.g. body rotation, trunk twisting) is absent</t>
  </si>
  <si>
    <t>Load is maintained close to the body</t>
  </si>
  <si>
    <t>Load vertical displacement is between hips and shoulders</t>
  </si>
  <si>
    <t>Maximum  frequency: less than 5 lifts per minute</t>
  </si>
  <si>
    <t>Are there loads weighted between 3 and 5 kg?</t>
  </si>
  <si>
    <t xml:space="preserve">3 to 5 kg weights
</t>
  </si>
  <si>
    <t>Are there loads weighted more than 5 kg up to 10 kg?</t>
  </si>
  <si>
    <t>No. of employees</t>
  </si>
  <si>
    <t>Weights exceeding 10 kg are lifted?</t>
  </si>
  <si>
    <t>Are there loads weighted more than 10 kg up to 15 kg?</t>
  </si>
  <si>
    <t>Are there loads weighted more than 15 kg up to 25 kg?</t>
  </si>
  <si>
    <t xml:space="preserve">10,5 to 15 kg weights
</t>
  </si>
  <si>
    <t xml:space="preserve">15,51 to 25 kg weights
</t>
  </si>
  <si>
    <t>Maximum  frequency: less than 1 lift every 5 minutes</t>
  </si>
  <si>
    <t>Characteristics and frequency of some of lifted loads (more than 10kg)</t>
  </si>
  <si>
    <t>The vertical distance between the origin and the destination of the lifted object is more than 175cm</t>
  </si>
  <si>
    <t>The hand location at the beginning/end of the lift is higher than 175 cm or lower than 0cm</t>
  </si>
  <si>
    <t>The horizontal distance between the body and load is greater than full arm reach</t>
  </si>
  <si>
    <t>Extreme body twisting without moving the feet</t>
  </si>
  <si>
    <t>equal to or higher than 15 t/min in SHORT DURATION (MAX 60 min)</t>
  </si>
  <si>
    <t>equal to or higher than 12v/min in MEDIUM DURATION (MAX 120 min)</t>
  </si>
  <si>
    <t>equal to or higher than 8 t/min in LONG DURATION (OVER 120 min)</t>
  </si>
  <si>
    <t>CRITICAL?</t>
  </si>
  <si>
    <t>green?</t>
  </si>
  <si>
    <t>answered?</t>
  </si>
  <si>
    <t>Final green?</t>
  </si>
  <si>
    <t>Consistency test</t>
  </si>
  <si>
    <t>Weight exceeding limits:</t>
  </si>
  <si>
    <t>weight no more than 10</t>
  </si>
  <si>
    <t>Inconsistent:</t>
  </si>
  <si>
    <t>any checked yes?</t>
  </si>
  <si>
    <t>weight more than 10</t>
  </si>
  <si>
    <t>any checked?</t>
  </si>
  <si>
    <t>RWL</t>
  </si>
  <si>
    <t>mref</t>
  </si>
  <si>
    <t>VM</t>
  </si>
  <si>
    <t>Weight row</t>
  </si>
  <si>
    <t>represent. Value</t>
  </si>
  <si>
    <t>(2lif/min long)</t>
  </si>
  <si>
    <t>V=0</t>
  </si>
  <si>
    <t>H=45</t>
  </si>
  <si>
    <t>A=60</t>
  </si>
  <si>
    <t>total</t>
  </si>
  <si>
    <t>HM</t>
  </si>
  <si>
    <t>AM</t>
  </si>
  <si>
    <t>CM</t>
  </si>
  <si>
    <t>FM</t>
  </si>
  <si>
    <t>RWL comput</t>
  </si>
  <si>
    <t>Weight</t>
  </si>
  <si>
    <t>LI</t>
  </si>
  <si>
    <t>Priority</t>
  </si>
  <si>
    <t>level [0, 1]</t>
  </si>
  <si>
    <t>Conditions of manual carrying loads</t>
  </si>
  <si>
    <t>Weight of moved objects</t>
  </si>
  <si>
    <t>No. of objects exceeding 3kg carried in a shift</t>
  </si>
  <si>
    <t>Distance</t>
  </si>
  <si>
    <t>&gt;= 20m</t>
  </si>
  <si>
    <t>Green max Limit</t>
  </si>
  <si>
    <t>critical?</t>
  </si>
  <si>
    <t>Cumulative mass (kg)</t>
  </si>
  <si>
    <r>
      <t xml:space="preserve">PRESENCE OF OBJECTS WEIGHTING MORE THAN (OR EQUAL TO) 3 KG TO BE MANUALLY LIFTED </t>
    </r>
    <r>
      <rPr>
        <sz val="14"/>
        <rFont val="Arial Narrow"/>
        <family val="2"/>
      </rPr>
      <t>(if the weight is less, no need to continue the  investigation)</t>
    </r>
  </si>
  <si>
    <t>Summary of load manual handling quick assesment</t>
  </si>
  <si>
    <r>
      <t>PRESENCE OF OBJECTS WEIGHTING MORE THAN (OR EQUAL TO) 3 KG TO BE MANUALLY CARRIED (TRANSPORTED)</t>
    </r>
    <r>
      <rPr>
        <sz val="14"/>
        <rFont val="Arial Narrow"/>
        <family val="2"/>
      </rPr>
      <t xml:space="preserve"> (if weight is less and/or they are moved for less that 2 steps, analysis is no longer necessary)</t>
    </r>
  </si>
  <si>
    <t>Is the working environment unfavourable for pushing or pulling?</t>
  </si>
  <si>
    <t>Are there unfavorable object characteristics for pushing or pulling?</t>
  </si>
  <si>
    <t>Does the object (or trolley, transpallet, etc.) limit the vision of the operator or hinder the movement?</t>
  </si>
  <si>
    <t>Does the object (or trolley, transpallet, etc.) have hazardous features, sharp surfaces, projections etc. that can injure the operator?</t>
  </si>
  <si>
    <t xml:space="preserve">Are the wheels or casters worn, broken or not properly maintained? </t>
  </si>
  <si>
    <t>Hands are held inside shoulder width and in front of the body.</t>
  </si>
  <si>
    <t>The perceived effort (obtained interviewing the workers using the CR-10 Borg scale) shows the presence, during the pushing-pulling task(s), of an up to SLIGHT force excertion (perceived effort) (score 2 or less in Borg CR-10 scale)?</t>
  </si>
  <si>
    <t>Hands are held either outside the shoulder width or not in front of the body.</t>
  </si>
  <si>
    <t>Hands are held higher than 150 cm or lower than 60 cm.</t>
  </si>
  <si>
    <t>The push-or-pull action is superimposed by relevant vertical force components (“partial lifting”)</t>
  </si>
  <si>
    <t>Does the task(s) with manual pushing and pulling lasts more than 8 hours a day?</t>
  </si>
  <si>
    <t>Perceived effort (obtained interviewing the workers using the CR-10 Borg scale):</t>
  </si>
  <si>
    <t>Borg Scale</t>
  </si>
  <si>
    <t>0,5 - very, very weak</t>
  </si>
  <si>
    <t>1 - very weak</t>
  </si>
  <si>
    <t>2 - weak</t>
  </si>
  <si>
    <t>3 - moderate</t>
  </si>
  <si>
    <t>4 - somewhat strong</t>
  </si>
  <si>
    <t>5 - strong</t>
  </si>
  <si>
    <t>6 - strong *</t>
  </si>
  <si>
    <t>7 - very strong</t>
  </si>
  <si>
    <t>8 - very strong *</t>
  </si>
  <si>
    <t>9 - Extremly strong</t>
  </si>
  <si>
    <t>10 - maximal</t>
  </si>
  <si>
    <t>borg value</t>
  </si>
  <si>
    <t>Total yes</t>
  </si>
  <si>
    <t>The perceived effort using the CR-10 Borg scale (obtained by interviewing the workers), shows the presence of high peaks of force (perceived effort) (a score of 8 or more on the Borg CR-10 scale)?</t>
  </si>
  <si>
    <t>Priority from Borg</t>
  </si>
  <si>
    <t>PRIORITY</t>
  </si>
  <si>
    <t>Increment Priority</t>
  </si>
  <si>
    <t>FINAL PRIORITY (&lt;=1)</t>
  </si>
  <si>
    <t>Priority (&lt;=1)</t>
  </si>
  <si>
    <t xml:space="preserve"> Nearly always upright</t>
  </si>
  <si>
    <t xml:space="preserve"> Frequent moderate flexions</t>
  </si>
  <si>
    <t xml:space="preserve"> Standing or squating posture (not seated)</t>
  </si>
  <si>
    <t xml:space="preserve"> Seated posture</t>
  </si>
  <si>
    <t xml:space="preserve"> Frequent torsions</t>
  </si>
  <si>
    <t xml:space="preserve"> Frequent major flexions</t>
  </si>
  <si>
    <t xml:space="preserve"> Works leaning on the back</t>
  </si>
  <si>
    <t xml:space="preserve"> Works in upright position but there is no backrest</t>
  </si>
  <si>
    <t xml:space="preserve"> Works mostly bent forward</t>
  </si>
  <si>
    <t xml:space="preserve"> Frequent trunk torsions</t>
  </si>
  <si>
    <t xml:space="preserve"> Standing posture with possibility of walking around</t>
  </si>
  <si>
    <t xml:space="preserve"> Standing fixed posture</t>
  </si>
  <si>
    <t xml:space="preserve"> Kneeled or squatted legs</t>
  </si>
  <si>
    <t xml:space="preserve"> Leg space is suffcient</t>
  </si>
  <si>
    <t xml:space="preserve"> Leg space is insufficient or very limited</t>
  </si>
  <si>
    <t xml:space="preserve"> Leg space is non existing</t>
  </si>
  <si>
    <t xml:space="preserve">Note: </t>
  </si>
  <si>
    <t xml:space="preserve"> Use of lower limbs for acting pedals</t>
  </si>
  <si>
    <t>Trunk posture</t>
  </si>
  <si>
    <t>Lower limbs posture</t>
  </si>
  <si>
    <t>Use of lower limbs</t>
  </si>
  <si>
    <t xml:space="preserve"> No acting pedals</t>
  </si>
  <si>
    <t xml:space="preserve">described time of trunk posture:   </t>
  </si>
  <si>
    <t xml:space="preserve">described time of lower limbs posture:   </t>
  </si>
  <si>
    <t xml:space="preserve">described time of use of lower limbs:   </t>
  </si>
  <si>
    <t>weight</t>
  </si>
  <si>
    <t>Score</t>
  </si>
  <si>
    <t>Sum score trunk</t>
  </si>
  <si>
    <t>Max sum score</t>
  </si>
  <si>
    <t>all sections answered?</t>
  </si>
  <si>
    <t>the task involves driving trucks</t>
  </si>
  <si>
    <t>NOT POLLUTANTS, BIOLOGICAL OR OTHER SPECIAL AGENTS ARE PRESENT</t>
  </si>
  <si>
    <t>BIOMECHANICAL OVERLOAD FROM REPETITIVE MOVEMENTS</t>
  </si>
  <si>
    <r>
      <t xml:space="preserve">PRESENCE OF REPETITIVE TASK. </t>
    </r>
    <r>
      <rPr>
        <sz val="14"/>
        <rFont val="Arial Narrow"/>
        <family val="2"/>
      </rPr>
      <t>The task is organized in cycles, regardless of their duration or the task is characterized by similar gestures for over 50% of time. The term does not mean presence of risk.</t>
    </r>
  </si>
  <si>
    <t>Summary of repetitive work net duration in a representative average day</t>
  </si>
  <si>
    <t>Are either upper limbs working for less than 50% of the total time duration of repetitive task(s)?</t>
  </si>
  <si>
    <t>Are both elbows held below the shoulder level for almost 90% of the total duration of the repetitive task(s)?</t>
  </si>
  <si>
    <t>Is there no requered force or is there a moderate force (perceived effort = max 3 or 4 on CR-10 Borg scale) exerted by the operator for no more than 1 hour during the duration of the repetitive task(s) and is there absence of force peaks (perceived effort = 5 or more on CR-10 Borg scale)?</t>
  </si>
  <si>
    <t xml:space="preserve">Presence of breaks (including the lunch break) that lasts at least 8 min every 2 hours and repetitive task(s) is performed for less than 8 hours a day? </t>
  </si>
  <si>
    <t>Are technical actions of a single limb so fast that it cannot be counted by simple direct observation?</t>
  </si>
  <si>
    <t>One or both arms are operating with the elbow at shoulder height for half or more than the total repetitive working time</t>
  </si>
  <si>
    <t>A “pinch” grip (or all kinds of grasps using the fingers tips) is used for more than 80% of the repetitive working time.</t>
  </si>
  <si>
    <t>Peak force applied (perceived effort = 5 or more in CR-10 Borg scale) for 10% or more of the total repetitive working time?</t>
  </si>
  <si>
    <t>There is no more than one break (lunch break included) in a shift of 6-8 hours or total repetitive working time is exceeding 8 hours within a shift?</t>
  </si>
  <si>
    <t>Net time</t>
  </si>
  <si>
    <t>Critical?</t>
  </si>
  <si>
    <t>Yes?</t>
  </si>
  <si>
    <t>CHECK / IDENTIFICATION  OF PRIORITIES FOR OTHER WORKING CONDITIONS</t>
  </si>
  <si>
    <t>SHEET 5: Summary of results</t>
  </si>
  <si>
    <t>NOT PRESENT</t>
  </si>
  <si>
    <t>present and not answered</t>
  </si>
  <si>
    <t>green</t>
  </si>
  <si>
    <t>present and acceptable</t>
  </si>
  <si>
    <t>The risk is acceptable. No further actions are needed.</t>
  </si>
  <si>
    <t>present and critical</t>
  </si>
  <si>
    <t>present, not green and not critical</t>
  </si>
  <si>
    <t>yellow</t>
  </si>
  <si>
    <t>red</t>
  </si>
  <si>
    <t>purple</t>
  </si>
  <si>
    <t>Risk</t>
  </si>
  <si>
    <t>Code</t>
  </si>
  <si>
    <t>text</t>
  </si>
  <si>
    <t>Risk code</t>
  </si>
  <si>
    <t>Priority code</t>
  </si>
  <si>
    <t>all answered?</t>
  </si>
  <si>
    <t>Working condition is not present.</t>
  </si>
  <si>
    <t>Please, answer the questions.</t>
  </si>
  <si>
    <t>It is necessary to conduct a risk assessment.</t>
  </si>
  <si>
    <t>A critical condition is present. The risk is surely high.</t>
  </si>
  <si>
    <t>To consider but long term.</t>
  </si>
  <si>
    <t>To consider but not urgent.</t>
  </si>
  <si>
    <t>To consider within brief period.</t>
  </si>
  <si>
    <t>Intervention is urgent.</t>
  </si>
  <si>
    <t>short description of processing</t>
  </si>
  <si>
    <t>SHEET 4: Description of present or used chemical products</t>
  </si>
  <si>
    <t>INDOOR WORK</t>
  </si>
  <si>
    <t>KIND OF SURFACES: JUDGEMENT VERSUS VISUAL EFFORT DEMAND AT WORK</t>
  </si>
  <si>
    <t>Exposure to UV  and/or climate factors</t>
  </si>
  <si>
    <t>Noise level based on perception</t>
  </si>
  <si>
    <t>EXPOSURE TO VIBRATION IS NOT PRESENT</t>
  </si>
  <si>
    <t>Shiftwork</t>
  </si>
  <si>
    <t>Workrate</t>
  </si>
  <si>
    <t>Duration</t>
  </si>
  <si>
    <t>final LI</t>
  </si>
  <si>
    <t>1 h</t>
  </si>
  <si>
    <t>1 min</t>
  </si>
  <si>
    <t>Additional factors?</t>
  </si>
  <si>
    <t>Number of breaks (including the lunch break) that lasts at least 8 min</t>
  </si>
  <si>
    <t>Number of hours not recovered</t>
  </si>
  <si>
    <t>Duration multiplier</t>
  </si>
  <si>
    <t>N. hours</t>
  </si>
  <si>
    <t>Multiplier</t>
  </si>
  <si>
    <t>Recovery multiplier</t>
  </si>
  <si>
    <t>SHORT DESCRIPTION OF BREAKS: shift distribution, pre-fixed or free</t>
  </si>
  <si>
    <t>Total repetitive working time (in minutes)</t>
  </si>
  <si>
    <t>Frequency</t>
  </si>
  <si>
    <t>Slow (no more than 1 action every 2 seconds)</t>
  </si>
  <si>
    <t>Medium (no more than 1 action per second) or holding an object by hands most of time</t>
  </si>
  <si>
    <t>Pace</t>
  </si>
  <si>
    <t>Is the pace mainly determined by the machine?</t>
  </si>
  <si>
    <t>How is the frequency of technical actions with dominant hand?</t>
  </si>
  <si>
    <t>Awkward postures</t>
  </si>
  <si>
    <t>Shoulder</t>
  </si>
  <si>
    <t>Hand</t>
  </si>
  <si>
    <t>Wrist</t>
  </si>
  <si>
    <t>Are arms operating with the elbow at shoulder height from one third to half of the total repetitive working time?</t>
  </si>
  <si>
    <t>Lack of variation</t>
  </si>
  <si>
    <t>Use of force</t>
  </si>
  <si>
    <t>Are peaks of force (perceived effort = 5 or more in CR-10 Borg scale) applied for 1% to 9 % of the time?</t>
  </si>
  <si>
    <t>Is a moderate force (perceived effort = max 3 or 4 on CR-10 Borg scale) exerted by the operator?</t>
  </si>
  <si>
    <t>Duration of exertion</t>
  </si>
  <si>
    <t>green or critical?</t>
  </si>
  <si>
    <t>1/3 of time</t>
  </si>
  <si>
    <t>quick assessment answered?</t>
  </si>
  <si>
    <t>2/3 of time</t>
  </si>
  <si>
    <t>all the time</t>
  </si>
  <si>
    <t>Checklist</t>
  </si>
  <si>
    <r>
      <rPr>
        <b/>
        <sz val="10"/>
        <rFont val="Arial"/>
        <family val="2"/>
      </rPr>
      <t>TRUNK</t>
    </r>
    <r>
      <rPr>
        <sz val="10"/>
        <rFont val="Arial"/>
        <family val="2"/>
      </rPr>
      <t xml:space="preserve"> (trunk bent forward/sideways/, bent back with no support, twisted)</t>
    </r>
  </si>
  <si>
    <r>
      <rPr>
        <b/>
        <sz val="10"/>
        <rFont val="Arial"/>
        <family val="2"/>
      </rPr>
      <t>UPPER LIMBS</t>
    </r>
    <r>
      <rPr>
        <sz val="10"/>
        <rFont val="Arial"/>
        <family val="2"/>
      </rPr>
      <t xml:space="preserve"> ( hand(s) at or above head, elbow(s) at or above shoulder, el-bow/hand(s) behind the body, hand(s) turned with palms completely up or down, extreme elbow flexion-extension, wrist bent for-ward/back/sideways)</t>
    </r>
  </si>
  <si>
    <r>
      <rPr>
        <b/>
        <sz val="10"/>
        <rFont val="Arial"/>
        <family val="2"/>
      </rPr>
      <t>LOWER LIMBS</t>
    </r>
    <r>
      <rPr>
        <sz val="10"/>
        <rFont val="Arial"/>
        <family val="2"/>
      </rPr>
      <t xml:space="preserve"> (squatting or kneeling) maintained for more than 4 seconds consecutively and repeated for a significant part of the working time</t>
    </r>
  </si>
  <si>
    <t>ALL BACK</t>
  </si>
  <si>
    <t>Sum score LIMB POSTURE</t>
  </si>
  <si>
    <t>LIMB POSTURE</t>
  </si>
  <si>
    <t>Sum score USE  legs</t>
  </si>
  <si>
    <t>Elbow</t>
  </si>
  <si>
    <t xml:space="preserve">Other risk  factors to be considered when neither a critical condition nor acceptable condition are present </t>
  </si>
  <si>
    <t>Additional organisational and enviromental risk factors to be considered</t>
  </si>
  <si>
    <t>Breaks (average) total duration per shift (in minutes): include the lunch breach duration only if included in the shift duration</t>
  </si>
  <si>
    <r>
      <rPr>
        <b/>
        <u/>
        <sz val="18"/>
        <rFont val="Arial"/>
        <family val="2"/>
      </rPr>
      <t>ACCEPTABLE CONDITIONS</t>
    </r>
    <r>
      <rPr>
        <b/>
        <u/>
        <sz val="14"/>
        <rFont val="Arial"/>
        <family val="2"/>
      </rPr>
      <t xml:space="preserve">
</t>
    </r>
    <r>
      <rPr>
        <sz val="12"/>
        <rFont val="Arial"/>
        <family val="2"/>
      </rPr>
      <t>If all underreported conditions are fulfilled and replies are all "</t>
    </r>
    <r>
      <rPr>
        <b/>
        <sz val="14"/>
        <rFont val="Arial"/>
        <family val="2"/>
      </rPr>
      <t>Yes</t>
    </r>
    <r>
      <rPr>
        <sz val="12"/>
        <rFont val="Arial"/>
        <family val="2"/>
      </rPr>
      <t>", the risk level is acceptable for repetitive work and it is not necessary to continue the risk evaluation</t>
    </r>
    <r>
      <rPr>
        <b/>
        <sz val="12"/>
        <rFont val="Arial"/>
        <family val="2"/>
      </rPr>
      <t xml:space="preserve">
NB. Please, answer all questions marking by "X" only in white cells</t>
    </r>
  </si>
  <si>
    <r>
      <rPr>
        <b/>
        <sz val="36"/>
        <color indexed="9"/>
        <rFont val="Arial Black"/>
        <family val="2"/>
      </rPr>
      <t xml:space="preserve">ERGOcheck </t>
    </r>
    <r>
      <rPr>
        <b/>
        <sz val="26"/>
        <color indexed="9"/>
        <rFont val="Arial Black"/>
        <family val="2"/>
      </rPr>
      <t xml:space="preserve">
</t>
    </r>
    <r>
      <rPr>
        <sz val="26"/>
        <color indexed="9"/>
        <rFont val="Arial Black"/>
        <family val="2"/>
      </rPr>
      <t>PRE-MAPPING OF WORK-RELATED HAZARDS</t>
    </r>
  </si>
  <si>
    <r>
      <t xml:space="preserve">   RISK PRE-MAPPING:
</t>
    </r>
    <r>
      <rPr>
        <sz val="36"/>
        <color indexed="9"/>
        <rFont val="Arial Black"/>
        <family val="2"/>
      </rPr>
      <t xml:space="preserve"> </t>
    </r>
    <r>
      <rPr>
        <sz val="36"/>
        <color rgb="FFFFFF00"/>
        <rFont val="Arial Black"/>
        <family val="2"/>
      </rPr>
      <t>The repetitive work</t>
    </r>
  </si>
  <si>
    <r>
      <rPr>
        <sz val="24"/>
        <color indexed="9"/>
        <rFont val="Arial Black"/>
        <family val="2"/>
      </rPr>
      <t xml:space="preserve">ERGOcheck </t>
    </r>
    <r>
      <rPr>
        <sz val="20"/>
        <color indexed="9"/>
        <rFont val="Arial Black"/>
        <family val="2"/>
      </rPr>
      <t xml:space="preserve">
</t>
    </r>
    <r>
      <rPr>
        <sz val="24"/>
        <color rgb="FFFFFF00"/>
        <rFont val="Arial Black"/>
        <family val="2"/>
      </rPr>
      <t>PRE-MAPPING OF MANUAL HANDLING</t>
    </r>
  </si>
  <si>
    <r>
      <rPr>
        <sz val="24"/>
        <color indexed="9"/>
        <rFont val="Arial Black"/>
        <family val="2"/>
      </rPr>
      <t xml:space="preserve">ERGOcheck </t>
    </r>
    <r>
      <rPr>
        <sz val="20"/>
        <color indexed="9"/>
        <rFont val="Arial Black"/>
        <family val="2"/>
      </rPr>
      <t xml:space="preserve">
</t>
    </r>
    <r>
      <rPr>
        <sz val="26"/>
        <color rgb="FFFFFF00"/>
        <rFont val="Arial Black"/>
        <family val="2"/>
      </rPr>
      <t>DESCRIPTION OF CHEMICAL POLLUTANTS</t>
    </r>
  </si>
  <si>
    <r>
      <rPr>
        <sz val="24"/>
        <color theme="0"/>
        <rFont val="Arial Black"/>
        <family val="2"/>
      </rPr>
      <t xml:space="preserve">ERGOcheck </t>
    </r>
    <r>
      <rPr>
        <sz val="20"/>
        <color indexed="9"/>
        <rFont val="Arial Black"/>
        <family val="2"/>
      </rPr>
      <t xml:space="preserve">
</t>
    </r>
    <r>
      <rPr>
        <sz val="16"/>
        <color indexed="9"/>
        <rFont val="Arial Black"/>
        <family val="2"/>
      </rPr>
      <t>PRE-MAPPING OF WORK-RELATED HAZARDS</t>
    </r>
    <r>
      <rPr>
        <sz val="20"/>
        <color indexed="9"/>
        <rFont val="Arial Black"/>
        <family val="2"/>
      </rPr>
      <t xml:space="preserve">
</t>
    </r>
    <r>
      <rPr>
        <sz val="26"/>
        <color rgb="FFFFFF00"/>
        <rFont val="Arial Black"/>
        <family val="2"/>
      </rPr>
      <t>SUMMARY OF RESULTS</t>
    </r>
  </si>
  <si>
    <t>processing   .</t>
  </si>
  <si>
    <r>
      <rPr>
        <b/>
        <sz val="10"/>
        <rFont val="Arial"/>
        <family val="2"/>
      </rPr>
      <t>HEAD/NECK</t>
    </r>
    <r>
      <rPr>
        <sz val="10"/>
        <rFont val="Arial"/>
        <family val="2"/>
      </rPr>
      <t xml:space="preserve"> (neck bent back/forward/sideways, twisted)</t>
    </r>
  </si>
  <si>
    <t>i.e.</t>
  </si>
  <si>
    <r>
      <rPr>
        <sz val="24"/>
        <color indexed="9"/>
        <rFont val="Arial Black"/>
        <family val="2"/>
      </rPr>
      <t xml:space="preserve">ERGOcheck </t>
    </r>
    <r>
      <rPr>
        <sz val="20"/>
        <color indexed="9"/>
        <rFont val="Arial Black"/>
        <family val="2"/>
      </rPr>
      <t xml:space="preserve">
</t>
    </r>
    <r>
      <rPr>
        <sz val="24"/>
        <color rgb="FFFFFF00"/>
        <rFont val="Arial Black"/>
        <family val="2"/>
      </rPr>
      <t>PRE-MAPPING OF AWKWARD POSTURES</t>
    </r>
  </si>
  <si>
    <t>SHEET 4: Quick assessment of awkward postures</t>
  </si>
  <si>
    <t>Are there static or awkward working postures of the HEAD/NECK, TRUNK and/or UPPER AND LOWER LIMBS maintained for more than 4 seconds consecutively and repeated for a significant part of the working time?</t>
  </si>
  <si>
    <t>BIOMECHANICAL OVERLOAD FROM AWKWARD POSTURES - TRUNK AND LOWER LIMBS</t>
  </si>
  <si>
    <t>Critical conditions are present. The risk is surely high.</t>
  </si>
  <si>
    <t>BIOMECHANICAL OVERLOAD - MANUAL CARRYING LOADS</t>
  </si>
  <si>
    <t>BIOMECHANICAL OVERLOAD - AWKWARD POSTURES OF SPINE AND LOWER LIMBS</t>
  </si>
  <si>
    <t>J</t>
  </si>
  <si>
    <t xml:space="preserve">KEY-QUESTIONS FOR IDENTIFICATION OF PROBLEMS ASSOCIATED WITH POLLUTANTS, BIOLOGICAL OR OTHER SPECIAL AGENTS </t>
  </si>
  <si>
    <t>KEY-QUESTIONS FOR IDENTIFICATION OF MACHINERY RELATED PROBLEMS</t>
  </si>
  <si>
    <t xml:space="preserve">KEY-QUESTIONS FOR IDENTIFICATION OF PROBLEMS RELATED TO VIBRATIONS </t>
  </si>
  <si>
    <t>KEY-QUESTIONS FOR IDENTIFICATION OF PROBLEMS ARISING FROM EQUIPMENT USE</t>
  </si>
  <si>
    <t>KEY-QUESTIONS FOR IDENTIFICATION OF MICROCLIMATE PROBLEMS</t>
  </si>
  <si>
    <t>KEY-QUESTIONS FOR IDENTIFICATION OF HAZARDS IN THE PRESENCE OF NOISE</t>
  </si>
  <si>
    <t>K</t>
  </si>
  <si>
    <t>KEY-QUESTIONS FOR IDENTIFICATION OF ORGANIZATIONAL PROBLEMS</t>
  </si>
  <si>
    <t>v7.0</t>
  </si>
  <si>
    <t>INSIDE LIGHTING PROBLEMS</t>
  </si>
  <si>
    <t>MICROCLIMATE PROBLEMS</t>
  </si>
  <si>
    <t>PROBLEMS ARISING FROM EQUIPMENT USE</t>
  </si>
  <si>
    <t>PROBLEMS RELATED TO VIBRATIONS</t>
  </si>
  <si>
    <t>MACHINERY RELATED PROBLEMS</t>
  </si>
  <si>
    <r>
      <rPr>
        <i/>
        <sz val="12"/>
        <rFont val="Arial Narrow"/>
        <family val="2"/>
      </rPr>
      <t>- is standing with the trunk erect (no relevant bending or twisting) but is not fixed, because he/she can walk around or otherwise can sit at least every hour (with his back well supported and adequate space legs).</t>
    </r>
  </si>
  <si>
    <r>
      <rPr>
        <b/>
        <sz val="14"/>
        <rFont val="Arial Narrow"/>
        <family val="2"/>
      </rPr>
      <t>In practice, in general, there are no awkward postures (SIGN NO) when the subject:</t>
    </r>
    <r>
      <rPr>
        <b/>
        <sz val="12"/>
        <rFont val="Arial Narrow"/>
        <family val="2"/>
      </rPr>
      <t xml:space="preserve">
</t>
    </r>
    <r>
      <rPr>
        <i/>
        <sz val="12"/>
        <rFont val="Arial Narrow"/>
        <family val="2"/>
      </rPr>
      <t>- is sitting with his/her back well supported, adequate space legs and can stand up (change position) at least every hour</t>
    </r>
  </si>
  <si>
    <t>High (more than 1 action per second): difficult to count the actions</t>
  </si>
  <si>
    <t>A “pinch”  (or all kinds of grasps using the fingers tips) is used from half to 80% of the repetitive working time?</t>
  </si>
  <si>
    <t>Are extreme forearm movements (elbow flexion-extension or  rotations) present for quite all the time?</t>
  </si>
  <si>
    <t>Are extreme wrist deviation (flexion, extension or lateral deviations) present for quite all the time?</t>
  </si>
  <si>
    <r>
      <rPr>
        <b/>
        <u/>
        <sz val="18"/>
        <color theme="1"/>
        <rFont val="Arial"/>
        <family val="2"/>
      </rPr>
      <t>CRITICAL CONDITIONS</t>
    </r>
    <r>
      <rPr>
        <b/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If at least one of the following conditions is present (</t>
    </r>
    <r>
      <rPr>
        <b/>
        <i/>
        <sz val="12"/>
        <color theme="1"/>
        <rFont val="Arial"/>
        <family val="2"/>
      </rPr>
      <t>YES</t>
    </r>
    <r>
      <rPr>
        <i/>
        <sz val="12"/>
        <color theme="1"/>
        <rFont val="Arial"/>
        <family val="2"/>
      </rPr>
      <t xml:space="preserve">), the risk has to be considered as CRITICAL and it is necessary to proceed with URGENT task </t>
    </r>
    <r>
      <rPr>
        <sz val="12"/>
        <color theme="1"/>
        <rFont val="Arial"/>
        <family val="2"/>
      </rPr>
      <t xml:space="preserve">
re-design.
</t>
    </r>
    <r>
      <rPr>
        <b/>
        <sz val="12"/>
        <color theme="1"/>
        <rFont val="Arial"/>
        <family val="2"/>
      </rPr>
      <t>NB. Please, answer all questions marking by "X" only in white cells</t>
    </r>
  </si>
  <si>
    <t>Are the same actions and gestures repeated for most of time? Or the cicle time is very short (less than 8 sec.)?</t>
  </si>
  <si>
    <r>
      <rPr>
        <b/>
        <u/>
        <sz val="18"/>
        <rFont val="Arial"/>
        <family val="2"/>
      </rPr>
      <t>CRITICAL CONDITIONS</t>
    </r>
    <r>
      <rPr>
        <b/>
        <sz val="12"/>
        <rFont val="Arial"/>
        <family val="2"/>
      </rPr>
      <t xml:space="preserve">
if only one of mentioned conditions is present (YES), the risk is to be considered as high and task is to be immediately redesigned.</t>
    </r>
  </si>
  <si>
    <t>MAX TRA LE DUE PRIORITA</t>
  </si>
  <si>
    <t>SE PER SBAGLIO SCRIVONO UN CRITICO E POI TUTTO VERDE, SCATTA IL CRITICO COMUNQUE</t>
  </si>
  <si>
    <t xml:space="preserve"> BIOMECHANICAL OVERLOAD - MANUAL LIFTING LOADS AND ITS ENVIROMENTAL ADDITIONAL RISK FACTORS</t>
  </si>
  <si>
    <r>
      <rPr>
        <b/>
        <u/>
        <sz val="18"/>
        <rFont val="Arial"/>
        <family val="2"/>
      </rPr>
      <t>CRITICAL CONDITIONS</t>
    </r>
    <r>
      <rPr>
        <b/>
        <sz val="12"/>
        <rFont val="Arial"/>
        <family val="2"/>
      </rPr>
      <t xml:space="preserve">
if only one of mentioned conditions is present (</t>
    </r>
    <r>
      <rPr>
        <b/>
        <sz val="14"/>
        <rFont val="Arial"/>
        <family val="2"/>
      </rPr>
      <t>YES</t>
    </r>
    <r>
      <rPr>
        <b/>
        <sz val="12"/>
        <rFont val="Arial"/>
        <family val="2"/>
      </rPr>
      <t>), the risk is to be considered as high and task is to be immediately redesigned</t>
    </r>
  </si>
  <si>
    <t>CARRING</t>
  </si>
  <si>
    <t>SOLLEVA</t>
  </si>
  <si>
    <t>TRASPORTA</t>
  </si>
  <si>
    <t>TIRO SPINTA</t>
  </si>
  <si>
    <t>EASILY INFLAMABLE</t>
  </si>
  <si>
    <t>HIGH INFLAMABILITY POINT (I.E &gt;70°)</t>
  </si>
  <si>
    <t>H300 H310 H330</t>
  </si>
  <si>
    <t>H301 H311 H331</t>
  </si>
  <si>
    <t xml:space="preserve">H314  H318 </t>
  </si>
  <si>
    <t>H302 H312 H332</t>
  </si>
  <si>
    <t>H315 H319 H335</t>
  </si>
  <si>
    <t xml:space="preserve"> H317 H334</t>
  </si>
  <si>
    <t>H340 H350 H360</t>
  </si>
  <si>
    <t>H341 H351 H361 H370 H372</t>
  </si>
  <si>
    <t xml:space="preserve"> H371 H373</t>
  </si>
  <si>
    <t>H315 H319 H335 OR WITHOUT "H" LABEL</t>
  </si>
  <si>
    <t>H200 H201 H202 H203 H240 H241</t>
  </si>
  <si>
    <t>H220 H222 H224 H241 H242 H251 H252</t>
  </si>
  <si>
    <t>H250</t>
  </si>
  <si>
    <t>H225 H228</t>
  </si>
  <si>
    <t>H204</t>
  </si>
  <si>
    <t>H223  H226 (IN CERTAIN CONDITIONS)
H225: se punto di infiammabilità &lt; 23 °C e di ebollizione &gt;35
H223 H224 H225 H226 (SECONDO CONDIZIONI)</t>
  </si>
  <si>
    <t>NO LABEL</t>
  </si>
  <si>
    <t>to evaluate within brief period</t>
  </si>
  <si>
    <t>to evaluate as soon as possible</t>
  </si>
  <si>
    <t>xxxxxxxx</t>
  </si>
  <si>
    <t>xxxxxxxxxxxx</t>
  </si>
  <si>
    <t>solvents</t>
  </si>
  <si>
    <r>
      <rPr>
        <b/>
        <u/>
        <sz val="18"/>
        <rFont val="Arial"/>
        <family val="2"/>
      </rPr>
      <t>ACCEPTABLE CONDITIONS</t>
    </r>
    <r>
      <rPr>
        <b/>
        <u/>
        <sz val="14"/>
        <rFont val="Arial"/>
        <family val="2"/>
      </rPr>
      <t xml:space="preserve">
</t>
    </r>
    <r>
      <rPr>
        <sz val="12"/>
        <rFont val="Arial"/>
        <family val="2"/>
      </rPr>
      <t>If there are NO LOADS &gt; 10 KG and all underreported conditions are fulfilled and replies are all "</t>
    </r>
    <r>
      <rPr>
        <b/>
        <sz val="14"/>
        <rFont val="Arial"/>
        <family val="2"/>
      </rPr>
      <t>Yes</t>
    </r>
    <r>
      <rPr>
        <sz val="12"/>
        <rFont val="Arial"/>
        <family val="2"/>
      </rPr>
      <t xml:space="preserve">" (using both hands in lifting) for every weight category present (&lt; 10KG), the risk level is acceptable for manual lifting loads. </t>
    </r>
    <r>
      <rPr>
        <b/>
        <sz val="12"/>
        <rFont val="Arial"/>
        <family val="2"/>
      </rPr>
      <t>Anyhow check also additional factors (see above).
NB. Please, mark by "X" only in white cells</t>
    </r>
  </si>
  <si>
    <r>
      <rPr>
        <b/>
        <u/>
        <sz val="18"/>
        <rFont val="Arial"/>
        <family val="2"/>
      </rPr>
      <t>ACCEPTABLE CONDITIONS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If all underreported conditions are fulfilled and replies are all "</t>
    </r>
    <r>
      <rPr>
        <b/>
        <sz val="14"/>
        <rFont val="Arial"/>
        <family val="2"/>
      </rPr>
      <t>Yes</t>
    </r>
    <r>
      <rPr>
        <sz val="12"/>
        <rFont val="Arial"/>
        <family val="2"/>
      </rPr>
      <t xml:space="preserve">", the risk level is acceptable for pushing-pulling taks. </t>
    </r>
    <r>
      <rPr>
        <b/>
        <sz val="12"/>
        <rFont val="Arial"/>
        <family val="2"/>
      </rPr>
      <t>Anyhow check also additional factors (see above)</t>
    </r>
    <r>
      <rPr>
        <sz val="12"/>
        <rFont val="Arial"/>
        <family val="2"/>
      </rPr>
      <t>.</t>
    </r>
    <r>
      <rPr>
        <b/>
        <sz val="12"/>
        <rFont val="Arial"/>
        <family val="2"/>
      </rPr>
      <t xml:space="preserve">
NB. Please, mark by "X" only in white cells</t>
    </r>
  </si>
  <si>
    <t>Additional ORGANISATIONAL AND ENVIROMENTAL risk factors to be considered</t>
  </si>
  <si>
    <t>CANCEROGENIC; MUTAGENIC; REPRODUCTIVE CYCLE RISK; TERATOGENIC</t>
  </si>
  <si>
    <t>CANCEROGENIC; MUTAGENIC; REPRODUCTIVE CYCLE RISK; TERATOGENIC; TOXIC</t>
  </si>
  <si>
    <t>PlASTIC MATERIALS</t>
  </si>
  <si>
    <t>Summary of enviromental additional factors important for MMH</t>
  </si>
  <si>
    <t>increment priority mmh</t>
  </si>
  <si>
    <t>increment priority mmh push pull</t>
  </si>
  <si>
    <t>PRIORITY AMBIENTE MMC</t>
  </si>
  <si>
    <t>PRIORITY AMBIENTE PUSH PULL</t>
  </si>
  <si>
    <t>max tra push e ambiente push</t>
  </si>
  <si>
    <t>BIOMECHANICAL OVERLOAD LOAD - MANUAL PULLING AND PUSHING AND ITS ENVIROMENTAL ADDITIONAL RISK FACTORS</t>
  </si>
  <si>
    <t>Summary of enviromental additional factors important for PUSHING and PULLING</t>
  </si>
  <si>
    <t xml:space="preserve">Cumulative Mass (total load carried in a shift))  =  </t>
  </si>
  <si>
    <t>Max. Distance (m.):</t>
  </si>
  <si>
    <t>by Daniela Colombini, Enrique Alvarez-Casado (CENEA), Enrico Occhipinti</t>
  </si>
  <si>
    <t>Max 8</t>
  </si>
  <si>
    <t xml:space="preserve">more than 5 kg up to 10 kg weights
</t>
  </si>
  <si>
    <t>&gt;25kg?</t>
  </si>
  <si>
    <t>REPRESENTATIVE PERIOD OF CARRYNG  IN A SHIFT (min)</t>
  </si>
  <si>
    <t>min</t>
  </si>
  <si>
    <t>10m - 19m</t>
  </si>
  <si>
    <t>4m - 10m</t>
  </si>
  <si>
    <t>2m - 4m</t>
  </si>
  <si>
    <t>1m - 2m</t>
  </si>
  <si>
    <t>8h</t>
  </si>
  <si>
    <t>adjusted limit</t>
  </si>
  <si>
    <t>Over limit?</t>
  </si>
  <si>
    <t>current condition</t>
  </si>
  <si>
    <t>Limit to apply</t>
  </si>
  <si>
    <t>considering &gt;25kg</t>
  </si>
  <si>
    <t xml:space="preserve">Estimated cumulative mass for each hour = </t>
  </si>
  <si>
    <t xml:space="preserve">Estimated cumulative mass for each minute = </t>
  </si>
  <si>
    <t>Carrying is performed under unfavourable environmental conditions or  lifting from/to low levels, e.g. below knee height, or
when the arms are lifted above the shoulders?</t>
  </si>
  <si>
    <t>Check the presence of few enviromental problems</t>
  </si>
  <si>
    <t>Presence of significative enviromental problems</t>
  </si>
  <si>
    <t>Critical presence of enviromental problems</t>
  </si>
  <si>
    <t>No actions are needed</t>
  </si>
  <si>
    <t>V. 06/07/2015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</si>
</sst>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[$€]* #,##0.00_);_([$€]* \(#,##0.00\);_([$€]* &quot;-&quot;??_);_(@_)"/>
  </numFmts>
  <fonts count="1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5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2"/>
      <name val="Arial Narrow"/>
      <family val="2"/>
    </font>
    <font>
      <b/>
      <sz val="14"/>
      <color indexed="63"/>
      <name val="Arial Narrow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18"/>
      <name val="Arial"/>
      <family val="2"/>
    </font>
    <font>
      <sz val="18"/>
      <name val="Arial Black"/>
      <family val="2"/>
    </font>
    <font>
      <b/>
      <sz val="18"/>
      <name val="Arial Black"/>
      <family val="2"/>
    </font>
    <font>
      <b/>
      <sz val="14"/>
      <color indexed="13"/>
      <name val="Arial Black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13"/>
      <name val="Arial Black"/>
      <family val="2"/>
    </font>
    <font>
      <b/>
      <sz val="12"/>
      <color indexed="63"/>
      <name val="Arial Narrow"/>
      <family val="2"/>
    </font>
    <font>
      <b/>
      <sz val="18"/>
      <color indexed="13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sz val="10"/>
      <color indexed="12"/>
      <name val="Arial"/>
      <family val="2"/>
    </font>
    <font>
      <sz val="6"/>
      <name val="Arial Narrow"/>
      <family val="2"/>
    </font>
    <font>
      <sz val="11"/>
      <name val="Arial Black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4"/>
      <name val="Arial Narrow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26"/>
      <name val="Arial Black"/>
      <family val="2"/>
    </font>
    <font>
      <sz val="26"/>
      <color indexed="9"/>
      <name val="Arial Black"/>
      <family val="2"/>
    </font>
    <font>
      <b/>
      <sz val="12"/>
      <name val="Arial Narrow"/>
      <family val="2"/>
    </font>
    <font>
      <b/>
      <sz val="10"/>
      <name val="Arial Black"/>
      <family val="2"/>
    </font>
    <font>
      <b/>
      <sz val="8"/>
      <color indexed="18"/>
      <name val="Arial"/>
      <family val="2"/>
    </font>
    <font>
      <b/>
      <sz val="26"/>
      <name val="Arial Black"/>
      <family val="2"/>
    </font>
    <font>
      <b/>
      <sz val="16"/>
      <name val="Arial Black"/>
      <family val="2"/>
    </font>
    <font>
      <b/>
      <sz val="18"/>
      <color indexed="13"/>
      <name val="Arial Narrow"/>
      <family val="2"/>
    </font>
    <font>
      <sz val="20"/>
      <color indexed="9"/>
      <name val="Arial Black"/>
      <family val="2"/>
    </font>
    <font>
      <sz val="10"/>
      <color indexed="9"/>
      <name val="Arial"/>
      <family val="2"/>
    </font>
    <font>
      <b/>
      <sz val="14"/>
      <color indexed="9"/>
      <name val="Arial Black"/>
      <family val="2"/>
    </font>
    <font>
      <sz val="14"/>
      <name val="Arial"/>
      <family val="2"/>
    </font>
    <font>
      <sz val="20"/>
      <name val="Arial Black"/>
      <family val="2"/>
    </font>
    <font>
      <b/>
      <sz val="14"/>
      <color indexed="50"/>
      <name val="Arial"/>
      <family val="2"/>
    </font>
    <font>
      <b/>
      <sz val="12"/>
      <color indexed="9"/>
      <name val="Arial"/>
      <family val="2"/>
    </font>
    <font>
      <b/>
      <u/>
      <sz val="12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color indexed="9"/>
      <name val="Arial Black"/>
      <family val="2"/>
    </font>
    <font>
      <b/>
      <sz val="14"/>
      <color indexed="9"/>
      <name val="Arial Narrow"/>
      <family val="2"/>
    </font>
    <font>
      <b/>
      <sz val="18"/>
      <name val="Arial Narrow"/>
      <family val="2"/>
    </font>
    <font>
      <sz val="16"/>
      <name val="Arial Black"/>
      <family val="2"/>
    </font>
    <font>
      <b/>
      <sz val="20"/>
      <name val="Arial Black"/>
      <family val="2"/>
    </font>
    <font>
      <sz val="14"/>
      <color indexed="9"/>
      <name val="Arial Narrow"/>
      <family val="2"/>
    </font>
    <font>
      <sz val="16"/>
      <name val="Arial Narrow"/>
      <family val="2"/>
    </font>
    <font>
      <sz val="14"/>
      <color indexed="9"/>
      <name val="Arial Black"/>
      <family val="2"/>
    </font>
    <font>
      <sz val="20"/>
      <name val="Arial"/>
      <family val="2"/>
    </font>
    <font>
      <b/>
      <sz val="20"/>
      <name val="Arial Black"/>
      <family val="2"/>
    </font>
    <font>
      <b/>
      <sz val="12"/>
      <color indexed="9"/>
      <name val="Arial Black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0"/>
      <color indexed="11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26"/>
      <color indexed="9"/>
      <name val="Arial Black"/>
      <family val="2"/>
    </font>
    <font>
      <sz val="24"/>
      <color theme="0"/>
      <name val="Arial Black"/>
      <family val="2"/>
    </font>
    <font>
      <b/>
      <sz val="18"/>
      <color rgb="FFFF0000"/>
      <name val="Arial"/>
      <family val="2"/>
    </font>
    <font>
      <sz val="20"/>
      <color rgb="FFFF0000"/>
      <name val="Arial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rgb="FFFF0000"/>
      <name val="Arial Black"/>
      <family val="2"/>
    </font>
    <font>
      <sz val="11"/>
      <color rgb="FFFF0000"/>
      <name val="Arial"/>
      <family val="2"/>
    </font>
    <font>
      <sz val="8"/>
      <name val="Arial Rounded MT Bold"/>
      <family val="2"/>
    </font>
    <font>
      <sz val="13"/>
      <name val="Arial Narrow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24"/>
      <color indexed="9"/>
      <name val="Arial Black"/>
      <family val="2"/>
    </font>
    <font>
      <b/>
      <sz val="16"/>
      <color theme="1"/>
      <name val="Arial"/>
      <family val="2"/>
    </font>
    <font>
      <sz val="10"/>
      <name val="Arial Rounded MT Bold"/>
      <family val="2"/>
    </font>
    <font>
      <sz val="24"/>
      <name val="Arial"/>
      <family val="2"/>
    </font>
    <font>
      <b/>
      <sz val="20"/>
      <name val="Arial"/>
      <family val="2"/>
    </font>
    <font>
      <b/>
      <sz val="18"/>
      <color theme="0"/>
      <name val="Arial Narrow"/>
      <family val="2"/>
    </font>
    <font>
      <sz val="12"/>
      <color theme="0"/>
      <name val="Arial Black"/>
      <family val="2"/>
    </font>
    <font>
      <sz val="16"/>
      <color theme="0"/>
      <name val="Arial"/>
      <family val="2"/>
    </font>
    <font>
      <b/>
      <sz val="16"/>
      <color indexed="9"/>
      <name val="Arial"/>
      <family val="2"/>
    </font>
    <font>
      <sz val="12"/>
      <color indexed="9"/>
      <name val="Arial Black"/>
      <family val="2"/>
    </font>
    <font>
      <sz val="10"/>
      <color theme="9" tint="-0.249977111117893"/>
      <name val="Arial"/>
      <family val="2"/>
    </font>
    <font>
      <b/>
      <sz val="36"/>
      <color indexed="9"/>
      <name val="Arial Black"/>
      <family val="2"/>
    </font>
    <font>
      <sz val="36"/>
      <color indexed="9"/>
      <name val="Arial Black"/>
      <family val="2"/>
    </font>
    <font>
      <sz val="36"/>
      <color rgb="FFFFFF00"/>
      <name val="Arial Black"/>
      <family val="2"/>
    </font>
    <font>
      <b/>
      <sz val="14"/>
      <color theme="0"/>
      <name val="Arial"/>
      <family val="2"/>
    </font>
    <font>
      <sz val="12"/>
      <color theme="9" tint="-0.249977111117893"/>
      <name val="Arial"/>
      <family val="2"/>
    </font>
    <font>
      <b/>
      <sz val="16"/>
      <color indexed="9"/>
      <name val="Arial Black"/>
      <family val="2"/>
    </font>
    <font>
      <b/>
      <sz val="14"/>
      <color theme="0"/>
      <name val="Arial Black"/>
      <family val="2"/>
    </font>
    <font>
      <sz val="24"/>
      <color rgb="FFFFFF00"/>
      <name val="Arial Black"/>
      <family val="2"/>
    </font>
    <font>
      <sz val="20"/>
      <name val="Arial Narrow"/>
      <family val="2"/>
    </font>
    <font>
      <b/>
      <sz val="16"/>
      <name val="Arial Narrow"/>
      <family val="2"/>
    </font>
    <font>
      <sz val="26"/>
      <color rgb="FFFFFF00"/>
      <name val="Arial Black"/>
      <family val="2"/>
    </font>
    <font>
      <b/>
      <sz val="18"/>
      <color theme="0"/>
      <name val="Arial Black"/>
      <family val="2"/>
    </font>
    <font>
      <b/>
      <sz val="14"/>
      <color rgb="FFFFFF00"/>
      <name val="Arial"/>
      <family val="2"/>
    </font>
    <font>
      <sz val="14"/>
      <color rgb="FFFF0000"/>
      <name val="Arial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b/>
      <sz val="12"/>
      <color theme="1"/>
      <name val="Arial"/>
      <family val="2"/>
    </font>
    <font>
      <b/>
      <u/>
      <sz val="18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0"/>
      <name val="Arial Black"/>
      <family val="2"/>
    </font>
    <font>
      <sz val="18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8"/>
      <name val="Arial Narrow"/>
      <family val="2"/>
    </font>
    <font>
      <b/>
      <sz val="18"/>
      <color indexed="9"/>
      <name val="Arial"/>
      <family val="2"/>
    </font>
    <font>
      <sz val="22"/>
      <name val="Arial"/>
      <family val="2"/>
    </font>
    <font>
      <sz val="9"/>
      <color indexed="18"/>
      <name val="Arial"/>
      <family val="2"/>
    </font>
    <font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AE0D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99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2">
    <xf numFmtId="0" fontId="0" fillId="0" borderId="0" xfId="0"/>
    <xf numFmtId="0" fontId="0" fillId="0" borderId="3" xfId="0" applyBorder="1"/>
    <xf numFmtId="0" fontId="0" fillId="0" borderId="0" xfId="0" applyFill="1"/>
    <xf numFmtId="0" fontId="1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1" fontId="22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0" xfId="0" applyAlignment="1" applyProtection="1">
      <alignment horizontal="left"/>
    </xf>
    <xf numFmtId="1" fontId="23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Border="1" applyProtection="1"/>
    <xf numFmtId="0" fontId="0" fillId="0" borderId="3" xfId="0" applyBorder="1" applyAlignment="1">
      <alignment horizontal="center" vertical="center" wrapText="1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58" fillId="0" borderId="0" xfId="0" applyFont="1"/>
    <xf numFmtId="0" fontId="58" fillId="0" borderId="0" xfId="0" applyFont="1" applyFill="1" applyBorder="1"/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/>
    <xf numFmtId="0" fontId="7" fillId="4" borderId="0" xfId="0" applyFont="1" applyFill="1" applyBorder="1" applyAlignment="1" applyProtection="1">
      <alignment vertical="center"/>
    </xf>
    <xf numFmtId="0" fontId="63" fillId="0" borderId="3" xfId="0" applyFont="1" applyFill="1" applyBorder="1" applyAlignment="1" applyProtection="1">
      <alignment horizontal="center" vertical="center" wrapText="1"/>
      <protection locked="0"/>
    </xf>
    <xf numFmtId="9" fontId="62" fillId="0" borderId="3" xfId="0" applyNumberFormat="1" applyFont="1" applyFill="1" applyBorder="1" applyAlignment="1" applyProtection="1">
      <alignment horizontal="center" vertical="center"/>
      <protection locked="0"/>
    </xf>
    <xf numFmtId="0" fontId="37" fillId="4" borderId="3" xfId="0" applyFont="1" applyFill="1" applyBorder="1" applyAlignment="1" applyProtection="1">
      <alignment horizontal="center" vertical="center"/>
      <protection locked="0"/>
    </xf>
    <xf numFmtId="0" fontId="0" fillId="11" borderId="0" xfId="0" applyFill="1" applyBorder="1"/>
    <xf numFmtId="0" fontId="0" fillId="11" borderId="0" xfId="0" applyFill="1" applyBorder="1" applyAlignment="1" applyProtection="1">
      <alignment horizontal="center" vertical="center"/>
      <protection locked="0"/>
    </xf>
    <xf numFmtId="0" fontId="17" fillId="11" borderId="0" xfId="0" applyFont="1" applyFill="1" applyBorder="1" applyAlignment="1">
      <alignment vertical="center" wrapText="1"/>
    </xf>
    <xf numFmtId="0" fontId="28" fillId="11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 applyProtection="1">
      <alignment horizontal="left" vertical="center" wrapText="1"/>
    </xf>
    <xf numFmtId="0" fontId="33" fillId="11" borderId="0" xfId="0" applyFont="1" applyFill="1" applyBorder="1" applyAlignment="1" applyProtection="1">
      <alignment horizont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 applyProtection="1"/>
    <xf numFmtId="0" fontId="0" fillId="11" borderId="0" xfId="0" applyFill="1" applyProtection="1"/>
    <xf numFmtId="0" fontId="58" fillId="0" borderId="0" xfId="0" applyFont="1" applyProtection="1"/>
    <xf numFmtId="0" fontId="0" fillId="11" borderId="0" xfId="0" applyFill="1" applyBorder="1" applyAlignment="1" applyProtection="1">
      <alignment horizontal="left" vertical="center"/>
    </xf>
    <xf numFmtId="0" fontId="0" fillId="11" borderId="0" xfId="0" applyFill="1" applyBorder="1" applyAlignment="1" applyProtection="1">
      <alignment horizontal="center" vertical="center"/>
    </xf>
    <xf numFmtId="0" fontId="30" fillId="11" borderId="0" xfId="0" applyFont="1" applyFill="1" applyBorder="1" applyAlignment="1" applyProtection="1">
      <alignment horizontal="left" vertical="center"/>
    </xf>
    <xf numFmtId="0" fontId="8" fillId="11" borderId="0" xfId="0" applyFont="1" applyFill="1" applyBorder="1" applyAlignment="1" applyProtection="1">
      <alignment horizontal="left" vertical="center"/>
    </xf>
    <xf numFmtId="0" fontId="10" fillId="11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65" fillId="11" borderId="0" xfId="0" applyFont="1" applyFill="1" applyBorder="1" applyAlignment="1" applyProtection="1">
      <alignment vertical="center" wrapText="1"/>
    </xf>
    <xf numFmtId="0" fontId="17" fillId="11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center"/>
    </xf>
    <xf numFmtId="0" fontId="17" fillId="11" borderId="0" xfId="0" applyFont="1" applyFill="1" applyBorder="1" applyAlignment="1" applyProtection="1">
      <alignment horizontal="left" vertical="center" wrapText="1"/>
    </xf>
    <xf numFmtId="0" fontId="0" fillId="11" borderId="5" xfId="0" applyFill="1" applyBorder="1" applyAlignment="1" applyProtection="1">
      <alignment horizontal="left" vertical="center"/>
    </xf>
    <xf numFmtId="0" fontId="17" fillId="11" borderId="0" xfId="0" applyFont="1" applyFill="1" applyBorder="1" applyAlignment="1" applyProtection="1">
      <alignment vertical="center" wrapText="1"/>
    </xf>
    <xf numFmtId="0" fontId="0" fillId="11" borderId="0" xfId="0" applyFill="1" applyBorder="1" applyAlignment="1" applyProtection="1">
      <alignment horizontal="center" wrapText="1"/>
    </xf>
    <xf numFmtId="0" fontId="29" fillId="11" borderId="0" xfId="0" applyFont="1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0" fillId="11" borderId="0" xfId="0" applyFill="1" applyAlignment="1" applyProtection="1">
      <alignment horizontal="left"/>
    </xf>
    <xf numFmtId="0" fontId="31" fillId="11" borderId="0" xfId="0" applyFont="1" applyFill="1" applyBorder="1" applyAlignment="1" applyProtection="1">
      <alignment horizontal="center"/>
    </xf>
    <xf numFmtId="0" fontId="36" fillId="11" borderId="0" xfId="0" applyFont="1" applyFill="1" applyBorder="1" applyAlignment="1" applyProtection="1">
      <alignment horizontal="center"/>
    </xf>
    <xf numFmtId="0" fontId="36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 applyProtection="1">
      <alignment vertical="center"/>
    </xf>
    <xf numFmtId="0" fontId="32" fillId="11" borderId="0" xfId="0" applyFont="1" applyFill="1" applyBorder="1" applyAlignment="1" applyProtection="1">
      <alignment horizontal="center" vertical="center"/>
    </xf>
    <xf numFmtId="0" fontId="32" fillId="11" borderId="0" xfId="0" applyFont="1" applyFill="1" applyBorder="1" applyAlignment="1" applyProtection="1">
      <alignment horizontal="center" vertical="center" wrapText="1"/>
    </xf>
    <xf numFmtId="0" fontId="0" fillId="4" borderId="5" xfId="0" applyFill="1" applyBorder="1" applyProtection="1"/>
    <xf numFmtId="0" fontId="7" fillId="11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44" fillId="5" borderId="3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/>
    </xf>
    <xf numFmtId="0" fontId="23" fillId="5" borderId="12" xfId="0" applyFont="1" applyFill="1" applyBorder="1" applyAlignment="1" applyProtection="1">
      <alignment horizontal="center" vertical="center"/>
    </xf>
    <xf numFmtId="0" fontId="22" fillId="11" borderId="0" xfId="0" applyFont="1" applyFill="1" applyBorder="1" applyProtection="1"/>
    <xf numFmtId="0" fontId="39" fillId="4" borderId="0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right" vertical="center"/>
    </xf>
    <xf numFmtId="0" fontId="27" fillId="5" borderId="4" xfId="0" applyFont="1" applyFill="1" applyBorder="1" applyAlignment="1" applyProtection="1">
      <alignment horizontal="center" vertical="center"/>
    </xf>
    <xf numFmtId="0" fontId="39" fillId="11" borderId="0" xfId="0" applyFont="1" applyFill="1" applyBorder="1" applyAlignment="1" applyProtection="1">
      <alignment vertical="center"/>
    </xf>
    <xf numFmtId="0" fontId="39" fillId="11" borderId="0" xfId="0" applyFont="1" applyFill="1" applyBorder="1" applyAlignment="1" applyProtection="1">
      <alignment horizontal="left" vertical="center"/>
    </xf>
    <xf numFmtId="0" fontId="72" fillId="11" borderId="0" xfId="0" applyFont="1" applyFill="1" applyBorder="1" applyProtection="1"/>
    <xf numFmtId="0" fontId="73" fillId="5" borderId="0" xfId="0" applyFont="1" applyFill="1" applyBorder="1" applyAlignment="1" applyProtection="1">
      <alignment horizontal="center" vertical="center"/>
    </xf>
    <xf numFmtId="0" fontId="0" fillId="11" borderId="5" xfId="0" applyFill="1" applyBorder="1" applyProtection="1"/>
    <xf numFmtId="0" fontId="44" fillId="5" borderId="10" xfId="0" applyFont="1" applyFill="1" applyBorder="1" applyAlignment="1" applyProtection="1">
      <alignment horizontal="center" vertical="center"/>
    </xf>
    <xf numFmtId="0" fontId="44" fillId="5" borderId="0" xfId="0" applyFont="1" applyFill="1" applyBorder="1" applyAlignment="1" applyProtection="1">
      <alignment horizontal="center" vertical="center"/>
    </xf>
    <xf numFmtId="0" fontId="0" fillId="11" borderId="3" xfId="0" applyFill="1" applyBorder="1" applyAlignment="1" applyProtection="1">
      <alignment horizontal="center"/>
    </xf>
    <xf numFmtId="0" fontId="45" fillId="5" borderId="7" xfId="0" applyFont="1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45" fillId="5" borderId="8" xfId="0" applyFont="1" applyFill="1" applyBorder="1" applyAlignment="1" applyProtection="1">
      <alignment horizontal="left" vertical="center"/>
    </xf>
    <xf numFmtId="0" fontId="45" fillId="5" borderId="9" xfId="0" applyFont="1" applyFill="1" applyBorder="1" applyAlignment="1" applyProtection="1">
      <alignment horizontal="right" vertical="center"/>
    </xf>
    <xf numFmtId="0" fontId="37" fillId="5" borderId="11" xfId="0" applyFont="1" applyFill="1" applyBorder="1" applyAlignment="1" applyProtection="1">
      <alignment horizontal="center" vertical="center"/>
    </xf>
    <xf numFmtId="0" fontId="45" fillId="11" borderId="0" xfId="0" applyFont="1" applyFill="1" applyBorder="1" applyAlignment="1" applyProtection="1">
      <alignment vertical="center"/>
    </xf>
    <xf numFmtId="0" fontId="45" fillId="11" borderId="0" xfId="0" applyFont="1" applyFill="1" applyBorder="1" applyAlignment="1" applyProtection="1">
      <alignment horizontal="left" vertical="center"/>
    </xf>
    <xf numFmtId="0" fontId="45" fillId="11" borderId="0" xfId="0" applyFont="1" applyFill="1" applyBorder="1" applyAlignment="1" applyProtection="1">
      <alignment horizontal="right" vertical="center"/>
    </xf>
    <xf numFmtId="0" fontId="77" fillId="11" borderId="0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>
      <alignment horizontal="center"/>
    </xf>
    <xf numFmtId="165" fontId="54" fillId="11" borderId="0" xfId="1" applyNumberFormat="1" applyFont="1" applyFill="1" applyBorder="1" applyAlignment="1" applyProtection="1">
      <alignment vertical="center"/>
    </xf>
    <xf numFmtId="0" fontId="17" fillId="11" borderId="0" xfId="0" applyFont="1" applyFill="1" applyBorder="1" applyAlignment="1">
      <alignment horizontal="center" vertical="center" wrapText="1"/>
    </xf>
    <xf numFmtId="0" fontId="0" fillId="11" borderId="0" xfId="0" applyFill="1" applyBorder="1" applyAlignment="1" applyProtection="1">
      <alignment horizontal="center"/>
      <protection locked="0"/>
    </xf>
    <xf numFmtId="0" fontId="0" fillId="11" borderId="0" xfId="0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left" vertical="center"/>
    </xf>
    <xf numFmtId="0" fontId="0" fillId="11" borderId="0" xfId="0" applyFill="1" applyBorder="1" applyAlignment="1">
      <alignment horizontal="center" vertical="center" wrapText="1"/>
    </xf>
    <xf numFmtId="1" fontId="23" fillId="11" borderId="16" xfId="0" applyNumberFormat="1" applyFont="1" applyFill="1" applyBorder="1" applyAlignment="1" applyProtection="1">
      <alignment horizontal="center" vertical="center" wrapText="1"/>
    </xf>
    <xf numFmtId="0" fontId="0" fillId="11" borderId="55" xfId="0" applyFill="1" applyBorder="1"/>
    <xf numFmtId="0" fontId="0" fillId="11" borderId="56" xfId="0" applyFill="1" applyBorder="1"/>
    <xf numFmtId="0" fontId="0" fillId="11" borderId="57" xfId="0" applyFill="1" applyBorder="1"/>
    <xf numFmtId="0" fontId="0" fillId="11" borderId="58" xfId="0" applyFill="1" applyBorder="1"/>
    <xf numFmtId="0" fontId="0" fillId="11" borderId="59" xfId="0" applyFill="1" applyBorder="1"/>
    <xf numFmtId="0" fontId="3" fillId="11" borderId="0" xfId="0" applyFont="1" applyFill="1" applyBorder="1"/>
    <xf numFmtId="0" fontId="4" fillId="11" borderId="0" xfId="0" applyFont="1" applyFill="1" applyBorder="1"/>
    <xf numFmtId="0" fontId="0" fillId="11" borderId="59" xfId="0" applyFill="1" applyBorder="1" applyAlignment="1" applyProtection="1"/>
    <xf numFmtId="0" fontId="12" fillId="11" borderId="0" xfId="0" applyFont="1" applyFill="1" applyBorder="1"/>
    <xf numFmtId="0" fontId="10" fillId="11" borderId="59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 vertical="center" wrapText="1"/>
    </xf>
    <xf numFmtId="0" fontId="52" fillId="11" borderId="0" xfId="0" applyFont="1" applyFill="1" applyBorder="1"/>
    <xf numFmtId="0" fontId="0" fillId="11" borderId="60" xfId="0" applyFill="1" applyBorder="1"/>
    <xf numFmtId="0" fontId="0" fillId="11" borderId="61" xfId="0" applyFill="1" applyBorder="1"/>
    <xf numFmtId="0" fontId="0" fillId="11" borderId="62" xfId="0" applyFill="1" applyBorder="1"/>
    <xf numFmtId="0" fontId="4" fillId="11" borderId="0" xfId="0" applyFont="1" applyFill="1" applyBorder="1" applyProtection="1"/>
    <xf numFmtId="0" fontId="65" fillId="11" borderId="0" xfId="0" applyFont="1" applyFill="1" applyBorder="1" applyProtection="1"/>
    <xf numFmtId="0" fontId="22" fillId="11" borderId="0" xfId="0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 applyProtection="1">
      <alignment vertical="center" wrapText="1"/>
    </xf>
    <xf numFmtId="0" fontId="22" fillId="11" borderId="0" xfId="0" applyFont="1" applyFill="1" applyBorder="1" applyAlignment="1" applyProtection="1">
      <alignment vertical="center"/>
    </xf>
    <xf numFmtId="0" fontId="7" fillId="11" borderId="0" xfId="0" applyFont="1" applyFill="1" applyBorder="1" applyAlignment="1" applyProtection="1">
      <alignment horizontal="left" vertical="center"/>
    </xf>
    <xf numFmtId="0" fontId="7" fillId="11" borderId="0" xfId="0" applyFont="1" applyFill="1" applyBorder="1" applyProtection="1"/>
    <xf numFmtId="0" fontId="0" fillId="11" borderId="0" xfId="0" applyFill="1"/>
    <xf numFmtId="0" fontId="46" fillId="11" borderId="0" xfId="0" applyFont="1" applyFill="1" applyBorder="1" applyAlignment="1" applyProtection="1">
      <alignment horizontal="left"/>
    </xf>
    <xf numFmtId="0" fontId="0" fillId="11" borderId="3" xfId="0" applyFill="1" applyBorder="1"/>
    <xf numFmtId="0" fontId="58" fillId="11" borderId="0" xfId="0" applyFont="1" applyFill="1"/>
    <xf numFmtId="2" fontId="0" fillId="11" borderId="0" xfId="0" applyNumberFormat="1" applyFill="1" applyBorder="1"/>
    <xf numFmtId="2" fontId="52" fillId="11" borderId="0" xfId="0" applyNumberFormat="1" applyFont="1" applyFill="1" applyBorder="1"/>
    <xf numFmtId="0" fontId="7" fillId="11" borderId="0" xfId="0" applyFont="1" applyFill="1" applyBorder="1"/>
    <xf numFmtId="0" fontId="31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vertical="center" wrapText="1"/>
    </xf>
    <xf numFmtId="0" fontId="36" fillId="11" borderId="0" xfId="0" applyFont="1" applyFill="1" applyBorder="1" applyAlignment="1" applyProtection="1">
      <alignment horizontal="center"/>
      <protection locked="0"/>
    </xf>
    <xf numFmtId="0" fontId="36" fillId="11" borderId="0" xfId="0" applyFont="1" applyFill="1" applyBorder="1" applyProtection="1">
      <protection locked="0"/>
    </xf>
    <xf numFmtId="0" fontId="69" fillId="11" borderId="0" xfId="0" applyFont="1" applyFill="1" applyBorder="1" applyAlignment="1">
      <alignment vertical="center"/>
    </xf>
    <xf numFmtId="0" fontId="56" fillId="11" borderId="0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center"/>
    </xf>
    <xf numFmtId="0" fontId="52" fillId="11" borderId="1" xfId="0" applyFont="1" applyFill="1" applyBorder="1"/>
    <xf numFmtId="0" fontId="0" fillId="11" borderId="0" xfId="0" applyFill="1" applyBorder="1" applyAlignment="1" applyProtection="1">
      <alignment vertical="center" wrapText="1"/>
      <protection locked="0"/>
    </xf>
    <xf numFmtId="0" fontId="51" fillId="11" borderId="0" xfId="0" applyFont="1" applyFill="1" applyBorder="1" applyAlignment="1">
      <alignment horizontal="center" vertical="top" wrapText="1"/>
    </xf>
    <xf numFmtId="0" fontId="0" fillId="9" borderId="0" xfId="0" applyFill="1"/>
    <xf numFmtId="0" fontId="0" fillId="9" borderId="0" xfId="0" applyFill="1" applyBorder="1"/>
    <xf numFmtId="0" fontId="58" fillId="9" borderId="0" xfId="0" applyFont="1" applyFill="1"/>
    <xf numFmtId="0" fontId="52" fillId="9" borderId="0" xfId="0" applyFont="1" applyFill="1" applyBorder="1"/>
    <xf numFmtId="0" fontId="52" fillId="9" borderId="0" xfId="0" applyFont="1" applyFill="1"/>
    <xf numFmtId="0" fontId="2" fillId="11" borderId="0" xfId="0" applyFont="1" applyFill="1" applyBorder="1"/>
    <xf numFmtId="0" fontId="0" fillId="11" borderId="0" xfId="0" applyFill="1" applyBorder="1" applyAlignment="1">
      <alignment vertical="center"/>
    </xf>
    <xf numFmtId="0" fontId="53" fillId="11" borderId="0" xfId="0" applyFont="1" applyFill="1" applyBorder="1"/>
    <xf numFmtId="0" fontId="58" fillId="9" borderId="0" xfId="0" applyFont="1" applyFill="1" applyBorder="1"/>
    <xf numFmtId="0" fontId="4" fillId="12" borderId="53" xfId="0" applyFont="1" applyFill="1" applyBorder="1" applyAlignment="1" applyProtection="1">
      <alignment vertical="center"/>
    </xf>
    <xf numFmtId="0" fontId="0" fillId="11" borderId="67" xfId="0" applyFill="1" applyBorder="1" applyProtection="1"/>
    <xf numFmtId="0" fontId="0" fillId="11" borderId="67" xfId="0" applyFill="1" applyBorder="1" applyAlignment="1" applyProtection="1">
      <alignment horizontal="left"/>
    </xf>
    <xf numFmtId="0" fontId="0" fillId="11" borderId="66" xfId="0" applyFill="1" applyBorder="1" applyProtection="1"/>
    <xf numFmtId="0" fontId="0" fillId="11" borderId="66" xfId="0" applyFill="1" applyBorder="1" applyAlignment="1" applyProtection="1">
      <alignment horizontal="left"/>
    </xf>
    <xf numFmtId="0" fontId="0" fillId="11" borderId="3" xfId="0" applyFill="1" applyBorder="1" applyProtection="1"/>
    <xf numFmtId="9" fontId="0" fillId="11" borderId="3" xfId="0" applyNumberFormat="1" applyFill="1" applyBorder="1" applyProtection="1"/>
    <xf numFmtId="0" fontId="74" fillId="11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vertical="top" wrapText="1"/>
    </xf>
    <xf numFmtId="0" fontId="0" fillId="11" borderId="0" xfId="0" applyFill="1" applyBorder="1" applyAlignment="1" applyProtection="1">
      <alignment horizontal="left"/>
    </xf>
    <xf numFmtId="0" fontId="37" fillId="11" borderId="3" xfId="0" applyFont="1" applyFill="1" applyBorder="1" applyAlignment="1" applyProtection="1">
      <alignment horizontal="center" vertical="center"/>
    </xf>
    <xf numFmtId="0" fontId="14" fillId="11" borderId="0" xfId="0" applyFont="1" applyFill="1" applyBorder="1" applyAlignment="1" applyProtection="1">
      <alignment horizontal="center" vertical="center"/>
    </xf>
    <xf numFmtId="0" fontId="3" fillId="11" borderId="0" xfId="0" applyFont="1" applyFill="1" applyBorder="1" applyProtection="1"/>
    <xf numFmtId="0" fontId="28" fillId="11" borderId="0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27" fillId="11" borderId="0" xfId="0" applyFont="1" applyFill="1" applyBorder="1" applyAlignment="1" applyProtection="1"/>
    <xf numFmtId="0" fontId="19" fillId="11" borderId="0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/>
    </xf>
    <xf numFmtId="0" fontId="80" fillId="11" borderId="0" xfId="0" applyFont="1" applyFill="1" applyBorder="1" applyAlignment="1">
      <alignment horizontal="center" vertical="center"/>
    </xf>
    <xf numFmtId="0" fontId="81" fillId="11" borderId="0" xfId="0" applyFont="1" applyFill="1" applyBorder="1" applyAlignment="1">
      <alignment horizontal="center" vertical="center"/>
    </xf>
    <xf numFmtId="0" fontId="66" fillId="14" borderId="3" xfId="0" applyFont="1" applyFill="1" applyBorder="1" applyAlignment="1">
      <alignment horizontal="center" vertical="center"/>
    </xf>
    <xf numFmtId="0" fontId="58" fillId="11" borderId="0" xfId="0" applyFont="1" applyFill="1" applyBorder="1"/>
    <xf numFmtId="0" fontId="84" fillId="2" borderId="67" xfId="0" applyFont="1" applyFill="1" applyBorder="1" applyAlignment="1" applyProtection="1">
      <alignment horizontal="right" vertical="center" wrapText="1"/>
    </xf>
    <xf numFmtId="0" fontId="37" fillId="4" borderId="4" xfId="0" applyFont="1" applyFill="1" applyBorder="1" applyAlignment="1" applyProtection="1">
      <alignment horizontal="center" vertical="center"/>
      <protection locked="0"/>
    </xf>
    <xf numFmtId="0" fontId="31" fillId="11" borderId="0" xfId="0" applyFont="1" applyFill="1" applyBorder="1" applyAlignment="1"/>
    <xf numFmtId="0" fontId="58" fillId="9" borderId="0" xfId="0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9" borderId="0" xfId="0" applyFont="1" applyFill="1" applyAlignment="1">
      <alignment horizontal="center"/>
    </xf>
    <xf numFmtId="0" fontId="58" fillId="11" borderId="0" xfId="0" applyFont="1" applyFill="1" applyBorder="1" applyAlignment="1">
      <alignment horizontal="right"/>
    </xf>
    <xf numFmtId="0" fontId="58" fillId="9" borderId="5" xfId="0" applyFont="1" applyFill="1" applyBorder="1"/>
    <xf numFmtId="0" fontId="58" fillId="9" borderId="0" xfId="0" applyFont="1" applyFill="1" applyBorder="1" applyAlignment="1">
      <alignment horizontal="left" vertical="center"/>
    </xf>
    <xf numFmtId="0" fontId="58" fillId="9" borderId="3" xfId="0" applyFont="1" applyFill="1" applyBorder="1" applyAlignment="1">
      <alignment horizontal="center" vertical="center"/>
    </xf>
    <xf numFmtId="0" fontId="85" fillId="11" borderId="0" xfId="0" applyFont="1" applyFill="1" applyBorder="1" applyAlignment="1">
      <alignment vertical="top"/>
    </xf>
    <xf numFmtId="0" fontId="37" fillId="9" borderId="3" xfId="0" applyFont="1" applyFill="1" applyBorder="1" applyAlignment="1" applyProtection="1">
      <alignment horizontal="center" vertical="center"/>
      <protection locked="0"/>
    </xf>
    <xf numFmtId="9" fontId="52" fillId="11" borderId="0" xfId="4" applyFont="1" applyFill="1" applyBorder="1"/>
    <xf numFmtId="0" fontId="9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75" fillId="9" borderId="0" xfId="0" applyFont="1" applyFill="1"/>
    <xf numFmtId="0" fontId="39" fillId="9" borderId="3" xfId="0" applyFont="1" applyFill="1" applyBorder="1" applyAlignment="1">
      <alignment horizontal="center" wrapText="1"/>
    </xf>
    <xf numFmtId="0" fontId="58" fillId="9" borderId="3" xfId="0" applyFont="1" applyFill="1" applyBorder="1" applyAlignment="1">
      <alignment horizontal="center"/>
    </xf>
    <xf numFmtId="0" fontId="52" fillId="9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165" fontId="40" fillId="9" borderId="6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 vertical="center"/>
    </xf>
    <xf numFmtId="0" fontId="9" fillId="11" borderId="0" xfId="0" applyFont="1" applyFill="1" applyBorder="1"/>
    <xf numFmtId="0" fontId="9" fillId="11" borderId="0" xfId="0" applyFont="1" applyFill="1" applyBorder="1" applyAlignment="1">
      <alignment horizontal="center" vertical="center"/>
    </xf>
    <xf numFmtId="2" fontId="3" fillId="9" borderId="6" xfId="0" applyNumberFormat="1" applyFont="1" applyFill="1" applyBorder="1" applyAlignment="1">
      <alignment horizontal="center" vertical="center" wrapText="1"/>
    </xf>
    <xf numFmtId="0" fontId="16" fillId="11" borderId="0" xfId="0" applyFont="1" applyFill="1" applyBorder="1" applyAlignment="1" applyProtection="1">
      <alignment vertical="top" wrapText="1"/>
      <protection locked="0"/>
    </xf>
    <xf numFmtId="0" fontId="4" fillId="11" borderId="0" xfId="0" applyFont="1" applyFill="1" applyBorder="1" applyAlignment="1">
      <alignment horizontal="center"/>
    </xf>
    <xf numFmtId="9" fontId="0" fillId="11" borderId="0" xfId="4" applyFont="1" applyFill="1" applyBorder="1"/>
    <xf numFmtId="0" fontId="58" fillId="11" borderId="0" xfId="0" applyFont="1" applyFill="1" applyAlignment="1">
      <alignment vertical="center"/>
    </xf>
    <xf numFmtId="0" fontId="0" fillId="11" borderId="0" xfId="0" applyFill="1" applyBorder="1" applyAlignment="1" applyProtection="1">
      <alignment vertical="top" wrapText="1"/>
      <protection locked="0"/>
    </xf>
    <xf numFmtId="0" fontId="23" fillId="11" borderId="0" xfId="0" applyFont="1" applyFill="1" applyAlignment="1">
      <alignment vertical="center"/>
    </xf>
    <xf numFmtId="0" fontId="3" fillId="11" borderId="0" xfId="0" applyFont="1" applyFill="1"/>
    <xf numFmtId="0" fontId="1" fillId="9" borderId="0" xfId="0" applyFont="1" applyFill="1"/>
    <xf numFmtId="0" fontId="52" fillId="11" borderId="0" xfId="0" applyFont="1" applyFill="1" applyAlignment="1">
      <alignment vertical="center"/>
    </xf>
    <xf numFmtId="0" fontId="52" fillId="11" borderId="3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right" vertical="center"/>
    </xf>
    <xf numFmtId="0" fontId="93" fillId="11" borderId="0" xfId="0" applyFont="1" applyFill="1" applyBorder="1"/>
    <xf numFmtId="9" fontId="40" fillId="11" borderId="32" xfId="4" applyFont="1" applyFill="1" applyBorder="1" applyAlignment="1">
      <alignment horizontal="center"/>
    </xf>
    <xf numFmtId="9" fontId="22" fillId="11" borderId="3" xfId="4" applyFont="1" applyFill="1" applyBorder="1" applyAlignment="1">
      <alignment horizontal="center" vertical="center"/>
    </xf>
    <xf numFmtId="0" fontId="52" fillId="11" borderId="0" xfId="0" applyFont="1" applyFill="1"/>
    <xf numFmtId="0" fontId="40" fillId="11" borderId="2" xfId="0" applyFont="1" applyFill="1" applyBorder="1" applyAlignment="1">
      <alignment horizontal="center"/>
    </xf>
    <xf numFmtId="9" fontId="40" fillId="11" borderId="2" xfId="4" applyFont="1" applyFill="1" applyBorder="1" applyAlignment="1">
      <alignment horizontal="center"/>
    </xf>
    <xf numFmtId="0" fontId="40" fillId="11" borderId="6" xfId="0" applyFont="1" applyFill="1" applyBorder="1" applyAlignment="1">
      <alignment horizontal="center" vertical="center" wrapText="1"/>
    </xf>
    <xf numFmtId="0" fontId="52" fillId="11" borderId="3" xfId="0" applyFont="1" applyFill="1" applyBorder="1" applyAlignment="1">
      <alignment vertical="center"/>
    </xf>
    <xf numFmtId="0" fontId="9" fillId="11" borderId="0" xfId="0" applyFont="1" applyFill="1" applyAlignment="1">
      <alignment wrapText="1"/>
    </xf>
    <xf numFmtId="0" fontId="52" fillId="11" borderId="14" xfId="0" applyFont="1" applyFill="1" applyBorder="1" applyAlignment="1">
      <alignment horizontal="center" vertical="center"/>
    </xf>
    <xf numFmtId="9" fontId="52" fillId="11" borderId="14" xfId="4" applyFont="1" applyFill="1" applyBorder="1" applyAlignment="1">
      <alignment horizontal="center" vertical="center"/>
    </xf>
    <xf numFmtId="9" fontId="40" fillId="11" borderId="12" xfId="4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58" fillId="11" borderId="0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vertical="center"/>
    </xf>
    <xf numFmtId="0" fontId="58" fillId="11" borderId="0" xfId="0" applyFont="1" applyFill="1" applyBorder="1" applyProtection="1"/>
    <xf numFmtId="0" fontId="52" fillId="11" borderId="0" xfId="0" applyFont="1" applyFill="1" applyBorder="1" applyAlignment="1" applyProtection="1">
      <alignment horizontal="center" vertical="center"/>
    </xf>
    <xf numFmtId="0" fontId="52" fillId="11" borderId="3" xfId="0" applyFont="1" applyFill="1" applyBorder="1" applyAlignment="1" applyProtection="1">
      <alignment horizontal="center" vertical="center"/>
    </xf>
    <xf numFmtId="0" fontId="67" fillId="11" borderId="0" xfId="0" applyFont="1" applyFill="1" applyBorder="1" applyAlignment="1" applyProtection="1">
      <alignment horizontal="left"/>
    </xf>
    <xf numFmtId="0" fontId="40" fillId="11" borderId="0" xfId="0" applyFont="1" applyFill="1" applyBorder="1" applyAlignment="1" applyProtection="1">
      <alignment horizontal="center"/>
    </xf>
    <xf numFmtId="0" fontId="0" fillId="11" borderId="2" xfId="0" applyFill="1" applyBorder="1" applyAlignment="1" applyProtection="1">
      <alignment horizontal="center"/>
    </xf>
    <xf numFmtId="9" fontId="0" fillId="11" borderId="0" xfId="4" applyFont="1" applyFill="1" applyBorder="1" applyProtection="1"/>
    <xf numFmtId="0" fontId="9" fillId="12" borderId="3" xfId="0" applyFont="1" applyFill="1" applyBorder="1" applyAlignment="1" applyProtection="1">
      <alignment horizontal="center" vertical="center"/>
    </xf>
    <xf numFmtId="0" fontId="0" fillId="17" borderId="0" xfId="0" applyFill="1" applyProtection="1"/>
    <xf numFmtId="0" fontId="0" fillId="11" borderId="3" xfId="0" applyFill="1" applyBorder="1" applyAlignment="1" applyProtection="1">
      <alignment horizontal="center" vertical="center"/>
    </xf>
    <xf numFmtId="0" fontId="92" fillId="11" borderId="0" xfId="0" applyFont="1" applyFill="1" applyBorder="1" applyAlignment="1" applyProtection="1">
      <alignment wrapText="1"/>
    </xf>
    <xf numFmtId="0" fontId="40" fillId="11" borderId="0" xfId="0" applyFont="1" applyFill="1" applyBorder="1" applyAlignment="1" applyProtection="1">
      <alignment horizontal="right" vertical="center"/>
    </xf>
    <xf numFmtId="0" fontId="92" fillId="11" borderId="0" xfId="0" applyFont="1" applyFill="1" applyBorder="1" applyProtection="1"/>
    <xf numFmtId="0" fontId="91" fillId="11" borderId="0" xfId="0" applyFont="1" applyFill="1" applyBorder="1" applyAlignment="1" applyProtection="1">
      <alignment vertical="center" wrapText="1"/>
    </xf>
    <xf numFmtId="9" fontId="71" fillId="11" borderId="0" xfId="0" applyNumberFormat="1" applyFont="1" applyFill="1" applyBorder="1" applyProtection="1"/>
    <xf numFmtId="2" fontId="40" fillId="11" borderId="6" xfId="4" applyNumberFormat="1" applyFont="1" applyFill="1" applyBorder="1" applyAlignment="1" applyProtection="1">
      <alignment horizontal="center" vertical="center"/>
    </xf>
    <xf numFmtId="0" fontId="52" fillId="11" borderId="14" xfId="0" applyFont="1" applyFill="1" applyBorder="1" applyAlignment="1" applyProtection="1">
      <alignment horizontal="center" vertical="center"/>
    </xf>
    <xf numFmtId="9" fontId="52" fillId="11" borderId="6" xfId="4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right" vertical="center"/>
    </xf>
    <xf numFmtId="0" fontId="3" fillId="11" borderId="0" xfId="0" applyFont="1" applyFill="1" applyBorder="1" applyAlignment="1" applyProtection="1">
      <alignment horizontal="right" vertical="center"/>
    </xf>
    <xf numFmtId="0" fontId="9" fillId="11" borderId="0" xfId="0" applyFont="1" applyFill="1" applyAlignment="1" applyProtection="1">
      <alignment horizontal="right" vertical="center"/>
    </xf>
    <xf numFmtId="0" fontId="0" fillId="11" borderId="28" xfId="0" applyFill="1" applyBorder="1" applyProtection="1"/>
    <xf numFmtId="0" fontId="0" fillId="11" borderId="16" xfId="0" applyFill="1" applyBorder="1" applyProtection="1"/>
    <xf numFmtId="0" fontId="9" fillId="11" borderId="16" xfId="0" applyFont="1" applyFill="1" applyBorder="1" applyAlignment="1" applyProtection="1">
      <alignment horizontal="right" vertical="center"/>
    </xf>
    <xf numFmtId="0" fontId="0" fillId="11" borderId="17" xfId="0" applyFill="1" applyBorder="1" applyProtection="1"/>
    <xf numFmtId="0" fontId="0" fillId="11" borderId="1" xfId="0" applyFill="1" applyBorder="1" applyProtection="1"/>
    <xf numFmtId="0" fontId="0" fillId="11" borderId="27" xfId="0" applyFill="1" applyBorder="1" applyProtection="1"/>
    <xf numFmtId="0" fontId="58" fillId="11" borderId="1" xfId="0" applyFont="1" applyFill="1" applyBorder="1" applyProtection="1"/>
    <xf numFmtId="0" fontId="58" fillId="11" borderId="27" xfId="0" applyFont="1" applyFill="1" applyBorder="1" applyProtection="1"/>
    <xf numFmtId="0" fontId="0" fillId="11" borderId="1" xfId="0" applyFill="1" applyBorder="1" applyAlignment="1" applyProtection="1">
      <alignment horizontal="left"/>
    </xf>
    <xf numFmtId="0" fontId="0" fillId="11" borderId="27" xfId="0" applyFill="1" applyBorder="1" applyAlignment="1" applyProtection="1">
      <alignment horizontal="left"/>
    </xf>
    <xf numFmtId="0" fontId="1" fillId="11" borderId="0" xfId="0" applyFont="1" applyFill="1" applyBorder="1" applyAlignment="1" applyProtection="1">
      <alignment horizontal="center"/>
    </xf>
    <xf numFmtId="0" fontId="0" fillId="11" borderId="25" xfId="0" applyFill="1" applyBorder="1" applyProtection="1"/>
    <xf numFmtId="0" fontId="9" fillId="11" borderId="5" xfId="0" applyFont="1" applyFill="1" applyBorder="1" applyAlignment="1" applyProtection="1">
      <alignment horizontal="right" vertical="center"/>
    </xf>
    <xf numFmtId="0" fontId="0" fillId="11" borderId="26" xfId="0" applyFill="1" applyBorder="1" applyProtection="1"/>
    <xf numFmtId="0" fontId="76" fillId="11" borderId="1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8" fillId="0" borderId="0" xfId="0" applyFont="1" applyFill="1" applyProtection="1"/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/>
    </xf>
    <xf numFmtId="0" fontId="52" fillId="11" borderId="25" xfId="0" applyFont="1" applyFill="1" applyBorder="1" applyAlignment="1" applyProtection="1">
      <alignment horizontal="center" vertical="center"/>
    </xf>
    <xf numFmtId="0" fontId="1" fillId="11" borderId="0" xfId="0" applyFont="1" applyFill="1" applyBorder="1" applyAlignment="1" applyProtection="1">
      <alignment horizontal="right" vertical="center"/>
    </xf>
    <xf numFmtId="0" fontId="1" fillId="11" borderId="0" xfId="0" applyFont="1" applyFill="1" applyBorder="1" applyAlignment="1" applyProtection="1">
      <alignment horizontal="right"/>
    </xf>
    <xf numFmtId="0" fontId="0" fillId="11" borderId="0" xfId="0" applyFill="1" applyBorder="1" applyAlignment="1" applyProtection="1"/>
    <xf numFmtId="0" fontId="0" fillId="3" borderId="53" xfId="0" applyFill="1" applyBorder="1" applyAlignment="1" applyProtection="1">
      <alignment vertical="center"/>
    </xf>
    <xf numFmtId="0" fontId="0" fillId="3" borderId="54" xfId="0" applyFill="1" applyBorder="1" applyAlignment="1" applyProtection="1">
      <alignment vertical="center"/>
    </xf>
    <xf numFmtId="0" fontId="0" fillId="3" borderId="52" xfId="0" applyFill="1" applyBorder="1" applyAlignment="1" applyProtection="1">
      <alignment horizontal="center" vertical="center"/>
    </xf>
    <xf numFmtId="0" fontId="50" fillId="11" borderId="3" xfId="0" applyFont="1" applyFill="1" applyBorder="1"/>
    <xf numFmtId="0" fontId="1" fillId="0" borderId="0" xfId="0" applyFont="1"/>
    <xf numFmtId="0" fontId="0" fillId="0" borderId="3" xfId="0" applyFill="1" applyBorder="1" applyAlignment="1" applyProtection="1">
      <alignment horizontal="center" vertical="center" wrapText="1"/>
    </xf>
    <xf numFmtId="0" fontId="1" fillId="11" borderId="0" xfId="0" applyFont="1" applyFill="1" applyAlignment="1">
      <alignment vertical="center"/>
    </xf>
    <xf numFmtId="165" fontId="54" fillId="11" borderId="3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9" borderId="0" xfId="0" applyFont="1" applyFill="1" applyAlignment="1">
      <alignment horizontal="right"/>
    </xf>
    <xf numFmtId="0" fontId="1" fillId="11" borderId="0" xfId="0" applyFont="1" applyFill="1"/>
    <xf numFmtId="0" fontId="0" fillId="11" borderId="3" xfId="0" applyFill="1" applyBorder="1" applyAlignment="1">
      <alignment horizontal="center" vertical="center"/>
    </xf>
    <xf numFmtId="0" fontId="1" fillId="11" borderId="0" xfId="0" applyFont="1" applyFill="1" applyAlignment="1">
      <alignment horizontal="right" vertical="center"/>
    </xf>
    <xf numFmtId="9" fontId="0" fillId="11" borderId="0" xfId="0" applyNumberFormat="1" applyFill="1"/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9" fontId="0" fillId="0" borderId="0" xfId="4" applyFont="1" applyAlignment="1">
      <alignment vertical="center"/>
    </xf>
    <xf numFmtId="0" fontId="9" fillId="9" borderId="10" xfId="0" applyFont="1" applyFill="1" applyBorder="1" applyAlignment="1">
      <alignment horizontal="center" vertical="center"/>
    </xf>
    <xf numFmtId="0" fontId="64" fillId="8" borderId="3" xfId="0" applyFont="1" applyFill="1" applyBorder="1" applyAlignment="1" applyProtection="1">
      <alignment horizontal="right" vertical="center" wrapText="1"/>
    </xf>
    <xf numFmtId="0" fontId="65" fillId="11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/>
    <xf numFmtId="0" fontId="47" fillId="11" borderId="0" xfId="0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vertical="center"/>
    </xf>
    <xf numFmtId="0" fontId="0" fillId="11" borderId="27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1" fillId="11" borderId="0" xfId="0" applyFont="1" applyFill="1" applyBorder="1" applyAlignment="1" applyProtection="1">
      <alignment horizontal="center" vertical="center"/>
    </xf>
    <xf numFmtId="0" fontId="48" fillId="11" borderId="0" xfId="0" applyFont="1" applyFill="1" applyBorder="1" applyAlignment="1" applyProtection="1">
      <alignment horizontal="left" vertical="center" wrapText="1"/>
    </xf>
    <xf numFmtId="0" fontId="4" fillId="11" borderId="0" xfId="0" applyFont="1" applyFill="1" applyBorder="1" applyAlignment="1" applyProtection="1"/>
    <xf numFmtId="0" fontId="11" fillId="5" borderId="4" xfId="0" applyFont="1" applyFill="1" applyBorder="1" applyAlignment="1" applyProtection="1">
      <alignment horizontal="center" vertical="center"/>
    </xf>
    <xf numFmtId="0" fontId="38" fillId="11" borderId="0" xfId="0" applyFont="1" applyFill="1" applyBorder="1" applyAlignment="1" applyProtection="1">
      <alignment horizontal="left"/>
    </xf>
    <xf numFmtId="0" fontId="32" fillId="11" borderId="0" xfId="0" applyFont="1" applyFill="1" applyBorder="1" applyAlignment="1" applyProtection="1">
      <alignment horizontal="left" vertical="center"/>
    </xf>
    <xf numFmtId="0" fontId="32" fillId="11" borderId="0" xfId="0" applyFont="1" applyFill="1" applyBorder="1" applyAlignment="1" applyProtection="1">
      <alignment horizontal="right" vertical="center"/>
    </xf>
    <xf numFmtId="0" fontId="23" fillId="11" borderId="0" xfId="0" applyFont="1" applyFill="1" applyBorder="1" applyAlignment="1" applyProtection="1">
      <alignment horizontal="center" vertical="center"/>
    </xf>
    <xf numFmtId="0" fontId="7" fillId="11" borderId="0" xfId="0" applyFont="1" applyFill="1" applyBorder="1" applyAlignment="1" applyProtection="1">
      <alignment horizontal="left"/>
    </xf>
    <xf numFmtId="0" fontId="7" fillId="11" borderId="0" xfId="0" applyFont="1" applyFill="1" applyBorder="1" applyAlignment="1" applyProtection="1">
      <alignment horizontal="right"/>
    </xf>
    <xf numFmtId="0" fontId="40" fillId="11" borderId="0" xfId="0" applyFont="1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center" vertical="center"/>
    </xf>
    <xf numFmtId="0" fontId="44" fillId="11" borderId="15" xfId="0" applyFont="1" applyFill="1" applyBorder="1" applyAlignment="1" applyProtection="1">
      <alignment horizontal="center" vertical="center"/>
    </xf>
    <xf numFmtId="0" fontId="7" fillId="11" borderId="15" xfId="0" applyFont="1" applyFill="1" applyBorder="1" applyAlignment="1" applyProtection="1">
      <alignment horizontal="left" vertical="center"/>
    </xf>
    <xf numFmtId="0" fontId="0" fillId="11" borderId="15" xfId="0" applyFill="1" applyBorder="1" applyAlignment="1" applyProtection="1">
      <alignment horizontal="center" vertical="center"/>
    </xf>
    <xf numFmtId="0" fontId="1" fillId="11" borderId="15" xfId="0" applyFont="1" applyFill="1" applyBorder="1" applyAlignment="1" applyProtection="1">
      <alignment horizontal="left" vertical="center"/>
    </xf>
    <xf numFmtId="9" fontId="1" fillId="11" borderId="0" xfId="4" applyFont="1" applyFill="1" applyBorder="1" applyProtection="1"/>
    <xf numFmtId="0" fontId="0" fillId="11" borderId="64" xfId="0" applyFill="1" applyBorder="1" applyProtection="1"/>
    <xf numFmtId="0" fontId="0" fillId="11" borderId="68" xfId="0" applyFill="1" applyBorder="1" applyProtection="1"/>
    <xf numFmtId="0" fontId="0" fillId="11" borderId="65" xfId="0" applyFill="1" applyBorder="1" applyProtection="1"/>
    <xf numFmtId="0" fontId="0" fillId="12" borderId="52" xfId="0" applyFill="1" applyBorder="1" applyProtection="1"/>
    <xf numFmtId="0" fontId="4" fillId="12" borderId="53" xfId="0" applyFont="1" applyFill="1" applyBorder="1" applyProtection="1"/>
    <xf numFmtId="0" fontId="0" fillId="12" borderId="53" xfId="0" applyFill="1" applyBorder="1" applyProtection="1"/>
    <xf numFmtId="0" fontId="0" fillId="11" borderId="58" xfId="0" applyFill="1" applyBorder="1" applyProtection="1"/>
    <xf numFmtId="0" fontId="12" fillId="11" borderId="0" xfId="0" applyFont="1" applyFill="1" applyBorder="1" applyProtection="1"/>
    <xf numFmtId="0" fontId="52" fillId="16" borderId="0" xfId="0" applyFont="1" applyFill="1" applyAlignment="1">
      <alignment horizontal="center" vertical="center"/>
    </xf>
    <xf numFmtId="0" fontId="52" fillId="16" borderId="0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center"/>
    </xf>
    <xf numFmtId="0" fontId="23" fillId="11" borderId="0" xfId="0" applyFont="1" applyFill="1" applyBorder="1"/>
    <xf numFmtId="2" fontId="23" fillId="18" borderId="6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9" borderId="3" xfId="0" applyFill="1" applyBorder="1" applyAlignment="1">
      <alignment vertical="center"/>
    </xf>
    <xf numFmtId="0" fontId="1" fillId="9" borderId="3" xfId="0" applyFont="1" applyFill="1" applyBorder="1" applyAlignment="1">
      <alignment horizontal="right" vertical="center" wrapText="1"/>
    </xf>
    <xf numFmtId="0" fontId="4" fillId="9" borderId="0" xfId="0" applyFont="1" applyFill="1" applyBorder="1"/>
    <xf numFmtId="1" fontId="23" fillId="11" borderId="0" xfId="0" applyNumberFormat="1" applyFont="1" applyFill="1" applyBorder="1" applyAlignment="1" applyProtection="1">
      <alignment horizontal="center" vertical="center" wrapText="1"/>
    </xf>
    <xf numFmtId="0" fontId="98" fillId="6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2" fillId="20" borderId="1" xfId="0" applyFont="1" applyFill="1" applyBorder="1" applyAlignment="1" applyProtection="1">
      <alignment vertical="top" wrapText="1"/>
    </xf>
    <xf numFmtId="0" fontId="0" fillId="20" borderId="0" xfId="0" applyFill="1" applyProtection="1"/>
    <xf numFmtId="0" fontId="22" fillId="20" borderId="0" xfId="0" applyFont="1" applyFill="1" applyBorder="1" applyAlignment="1" applyProtection="1">
      <alignment vertical="top" wrapText="1"/>
    </xf>
    <xf numFmtId="0" fontId="67" fillId="21" borderId="73" xfId="0" applyFont="1" applyFill="1" applyBorder="1" applyAlignment="1" applyProtection="1">
      <alignment horizontal="center"/>
    </xf>
    <xf numFmtId="0" fontId="99" fillId="21" borderId="73" xfId="0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 vertical="center"/>
    </xf>
    <xf numFmtId="0" fontId="1" fillId="18" borderId="10" xfId="0" applyFont="1" applyFill="1" applyBorder="1" applyAlignment="1" applyProtection="1">
      <alignment horizontal="center"/>
    </xf>
    <xf numFmtId="0" fontId="75" fillId="18" borderId="3" xfId="0" applyFont="1" applyFill="1" applyBorder="1" applyAlignment="1" applyProtection="1">
      <alignment horizontal="center" vertical="center"/>
    </xf>
    <xf numFmtId="0" fontId="36" fillId="18" borderId="3" xfId="0" applyFont="1" applyFill="1" applyBorder="1" applyAlignment="1" applyProtection="1">
      <alignment horizontal="center" vertical="center"/>
    </xf>
    <xf numFmtId="0" fontId="37" fillId="9" borderId="4" xfId="0" applyFont="1" applyFill="1" applyBorder="1" applyAlignment="1" applyProtection="1">
      <alignment horizontal="center" vertical="center"/>
      <protection locked="0"/>
    </xf>
    <xf numFmtId="0" fontId="0" fillId="11" borderId="55" xfId="0" applyFill="1" applyBorder="1" applyProtection="1"/>
    <xf numFmtId="0" fontId="0" fillId="11" borderId="56" xfId="0" applyFill="1" applyBorder="1" applyProtection="1"/>
    <xf numFmtId="0" fontId="0" fillId="11" borderId="57" xfId="0" applyFill="1" applyBorder="1" applyProtection="1"/>
    <xf numFmtId="0" fontId="0" fillId="11" borderId="59" xfId="0" applyFill="1" applyBorder="1" applyProtection="1"/>
    <xf numFmtId="0" fontId="0" fillId="9" borderId="0" xfId="0" applyFill="1" applyProtection="1"/>
    <xf numFmtId="0" fontId="0" fillId="9" borderId="0" xfId="0" applyFill="1" applyBorder="1" applyProtection="1"/>
    <xf numFmtId="0" fontId="14" fillId="11" borderId="5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0" fillId="9" borderId="10" xfId="0" applyFill="1" applyBorder="1" applyAlignment="1" applyProtection="1">
      <alignment horizontal="center" vertical="center"/>
    </xf>
    <xf numFmtId="0" fontId="98" fillId="9" borderId="0" xfId="0" applyFont="1" applyFill="1" applyProtection="1"/>
    <xf numFmtId="2" fontId="24" fillId="11" borderId="0" xfId="0" applyNumberFormat="1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11" borderId="5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25" fillId="11" borderId="0" xfId="0" applyFont="1" applyFill="1" applyBorder="1" applyAlignment="1" applyProtection="1">
      <alignment vertical="center"/>
    </xf>
    <xf numFmtId="0" fontId="13" fillId="11" borderId="0" xfId="0" applyFont="1" applyFill="1" applyBorder="1" applyAlignment="1" applyProtection="1">
      <alignment vertical="center"/>
    </xf>
    <xf numFmtId="0" fontId="3" fillId="11" borderId="5" xfId="0" applyFont="1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 wrapText="1"/>
    </xf>
    <xf numFmtId="0" fontId="0" fillId="11" borderId="59" xfId="0" applyFill="1" applyBorder="1" applyAlignment="1" applyProtection="1">
      <alignment horizontal="center" vertical="center" wrapText="1"/>
    </xf>
    <xf numFmtId="0" fontId="52" fillId="11" borderId="0" xfId="0" applyFont="1" applyFill="1" applyBorder="1" applyAlignment="1" applyProtection="1">
      <alignment horizontal="left" vertical="center" wrapText="1"/>
    </xf>
    <xf numFmtId="0" fontId="52" fillId="11" borderId="0" xfId="0" applyFont="1" applyFill="1" applyBorder="1" applyAlignment="1" applyProtection="1">
      <alignment vertical="center" wrapText="1"/>
    </xf>
    <xf numFmtId="0" fontId="22" fillId="11" borderId="15" xfId="0" applyFont="1" applyFill="1" applyBorder="1" applyAlignment="1" applyProtection="1">
      <alignment horizontal="center" vertical="center" wrapText="1"/>
    </xf>
    <xf numFmtId="0" fontId="18" fillId="11" borderId="0" xfId="0" applyFont="1" applyFill="1" applyBorder="1" applyAlignment="1" applyProtection="1">
      <alignment horizontal="left" vertical="center" wrapText="1"/>
    </xf>
    <xf numFmtId="0" fontId="18" fillId="11" borderId="0" xfId="0" applyFont="1" applyFill="1" applyBorder="1" applyAlignment="1" applyProtection="1">
      <alignment vertical="center" wrapText="1"/>
    </xf>
    <xf numFmtId="0" fontId="18" fillId="11" borderId="59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0" fillId="11" borderId="59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4" fillId="12" borderId="3" xfId="0" applyFont="1" applyFill="1" applyBorder="1" applyAlignment="1" applyProtection="1">
      <alignment horizontal="center"/>
    </xf>
    <xf numFmtId="0" fontId="25" fillId="11" borderId="0" xfId="0" applyFont="1" applyFill="1" applyBorder="1" applyAlignment="1" applyProtection="1">
      <alignment vertical="center" wrapText="1"/>
    </xf>
    <xf numFmtId="0" fontId="25" fillId="11" borderId="0" xfId="0" applyFont="1" applyFill="1" applyBorder="1" applyAlignment="1" applyProtection="1">
      <alignment horizontal="left" vertical="center" wrapText="1"/>
    </xf>
    <xf numFmtId="0" fontId="9" fillId="11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textRotation="90"/>
    </xf>
    <xf numFmtId="0" fontId="2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center"/>
    </xf>
    <xf numFmtId="0" fontId="0" fillId="9" borderId="0" xfId="0" applyFill="1" applyBorder="1" applyAlignment="1" applyProtection="1">
      <alignment vertical="top" wrapText="1"/>
    </xf>
    <xf numFmtId="0" fontId="4" fillId="9" borderId="0" xfId="0" applyFont="1" applyFill="1" applyBorder="1" applyAlignment="1" applyProtection="1">
      <alignment textRotation="90"/>
    </xf>
    <xf numFmtId="0" fontId="20" fillId="9" borderId="0" xfId="0" applyFont="1" applyFill="1" applyBorder="1" applyAlignment="1" applyProtection="1">
      <alignment horizontal="center" vertical="center"/>
    </xf>
    <xf numFmtId="0" fontId="17" fillId="9" borderId="0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horizontal="center" vertical="center"/>
    </xf>
    <xf numFmtId="0" fontId="23" fillId="12" borderId="3" xfId="0" applyFont="1" applyFill="1" applyBorder="1" applyAlignment="1" applyProtection="1">
      <alignment horizontal="center" vertical="center"/>
    </xf>
    <xf numFmtId="0" fontId="51" fillId="4" borderId="0" xfId="0" applyFont="1" applyFill="1" applyBorder="1" applyAlignment="1" applyProtection="1">
      <alignment horizontal="center" vertical="top" wrapText="1"/>
    </xf>
    <xf numFmtId="0" fontId="51" fillId="11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0" fontId="66" fillId="14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17" fillId="11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56" fillId="11" borderId="0" xfId="0" applyFont="1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wrapText="1"/>
    </xf>
    <xf numFmtId="0" fontId="52" fillId="11" borderId="0" xfId="0" applyFont="1" applyFill="1" applyBorder="1" applyAlignment="1" applyProtection="1">
      <alignment horizontal="center" vertical="top" wrapText="1"/>
    </xf>
    <xf numFmtId="164" fontId="0" fillId="2" borderId="3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9" fontId="4" fillId="0" borderId="0" xfId="4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" fillId="0" borderId="0" xfId="0" applyFont="1" applyAlignment="1" applyProtection="1">
      <alignment wrapText="1"/>
    </xf>
    <xf numFmtId="0" fontId="0" fillId="0" borderId="3" xfId="0" applyBorder="1" applyAlignment="1" applyProtection="1">
      <alignment horizontal="center" vertical="center"/>
    </xf>
    <xf numFmtId="0" fontId="52" fillId="11" borderId="0" xfId="0" applyFont="1" applyFill="1" applyBorder="1" applyProtection="1"/>
    <xf numFmtId="0" fontId="40" fillId="0" borderId="0" xfId="0" applyFont="1" applyAlignment="1" applyProtection="1">
      <alignment horizontal="center" vertical="center"/>
    </xf>
    <xf numFmtId="0" fontId="40" fillId="12" borderId="3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wrapText="1"/>
    </xf>
    <xf numFmtId="0" fontId="4" fillId="12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9" fontId="40" fillId="12" borderId="3" xfId="4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0" fontId="0" fillId="11" borderId="60" xfId="0" applyFill="1" applyBorder="1" applyProtection="1"/>
    <xf numFmtId="0" fontId="0" fillId="11" borderId="61" xfId="0" applyFill="1" applyBorder="1" applyProtection="1"/>
    <xf numFmtId="0" fontId="0" fillId="11" borderId="62" xfId="0" applyFill="1" applyBorder="1" applyProtection="1"/>
    <xf numFmtId="0" fontId="0" fillId="0" borderId="0" xfId="0" applyFill="1" applyBorder="1" applyAlignment="1" applyProtection="1">
      <alignment horizontal="center"/>
    </xf>
    <xf numFmtId="0" fontId="58" fillId="0" borderId="0" xfId="0" applyFont="1" applyFill="1" applyBorder="1" applyProtection="1"/>
    <xf numFmtId="0" fontId="1" fillId="11" borderId="0" xfId="0" applyFont="1" applyFill="1" applyAlignment="1" applyProtection="1">
      <alignment horizontal="right" vertical="center"/>
    </xf>
    <xf numFmtId="0" fontId="1" fillId="9" borderId="0" xfId="0" applyFont="1" applyFill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0" fillId="9" borderId="0" xfId="0" applyFill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9" fontId="0" fillId="0" borderId="0" xfId="4" applyFont="1" applyAlignment="1" applyProtection="1">
      <alignment vertical="center"/>
    </xf>
    <xf numFmtId="0" fontId="1" fillId="11" borderId="0" xfId="0" applyFont="1" applyFill="1" applyBorder="1" applyProtection="1"/>
    <xf numFmtId="0" fontId="52" fillId="11" borderId="6" xfId="0" applyFont="1" applyFill="1" applyBorder="1" applyAlignment="1" applyProtection="1">
      <alignment horizontal="center" vertical="center"/>
    </xf>
    <xf numFmtId="0" fontId="23" fillId="9" borderId="3" xfId="0" applyFont="1" applyFill="1" applyBorder="1" applyAlignment="1" applyProtection="1">
      <alignment horizontal="center" vertical="center"/>
    </xf>
    <xf numFmtId="0" fontId="1" fillId="9" borderId="6" xfId="0" applyFont="1" applyFill="1" applyBorder="1" applyProtection="1"/>
    <xf numFmtId="0" fontId="0" fillId="24" borderId="3" xfId="0" applyFill="1" applyBorder="1" applyAlignment="1" applyProtection="1">
      <alignment horizontal="center" vertical="center"/>
    </xf>
    <xf numFmtId="0" fontId="99" fillId="13" borderId="2" xfId="0" applyFont="1" applyFill="1" applyBorder="1" applyAlignment="1" applyProtection="1">
      <alignment horizontal="center" vertical="center" wrapText="1"/>
    </xf>
    <xf numFmtId="9" fontId="102" fillId="23" borderId="0" xfId="0" applyNumberFormat="1" applyFont="1" applyFill="1" applyBorder="1" applyAlignment="1" applyProtection="1">
      <alignment horizontal="center" vertical="center"/>
    </xf>
    <xf numFmtId="0" fontId="1" fillId="11" borderId="0" xfId="0" applyFont="1" applyFill="1" applyProtection="1"/>
    <xf numFmtId="1" fontId="2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Protection="1"/>
    <xf numFmtId="0" fontId="88" fillId="9" borderId="10" xfId="0" applyFont="1" applyFill="1" applyBorder="1" applyAlignment="1" applyProtection="1">
      <alignment vertical="center" wrapText="1"/>
    </xf>
    <xf numFmtId="0" fontId="37" fillId="9" borderId="70" xfId="0" applyFont="1" applyFill="1" applyBorder="1" applyAlignment="1" applyProtection="1">
      <alignment horizontal="center" vertical="center"/>
      <protection locked="0"/>
    </xf>
    <xf numFmtId="0" fontId="37" fillId="9" borderId="71" xfId="0" applyFont="1" applyFill="1" applyBorder="1" applyAlignment="1" applyProtection="1">
      <alignment horizontal="center" vertical="center"/>
      <protection locked="0"/>
    </xf>
    <xf numFmtId="0" fontId="37" fillId="9" borderId="72" xfId="0" applyFont="1" applyFill="1" applyBorder="1" applyAlignment="1" applyProtection="1">
      <alignment horizontal="center" vertical="center"/>
      <protection locked="0"/>
    </xf>
    <xf numFmtId="0" fontId="65" fillId="3" borderId="23" xfId="0" applyFont="1" applyFill="1" applyBorder="1" applyAlignment="1">
      <alignment horizontal="center" vertical="center" textRotation="90" wrapText="1"/>
    </xf>
    <xf numFmtId="0" fontId="104" fillId="14" borderId="3" xfId="0" applyFont="1" applyFill="1" applyBorder="1" applyAlignment="1" applyProtection="1">
      <alignment horizontal="center" vertical="center"/>
    </xf>
    <xf numFmtId="0" fontId="104" fillId="14" borderId="3" xfId="0" applyFont="1" applyFill="1" applyBorder="1" applyAlignment="1">
      <alignment horizontal="center" vertical="center"/>
    </xf>
    <xf numFmtId="0" fontId="77" fillId="11" borderId="0" xfId="0" applyFont="1" applyFill="1" applyBorder="1" applyProtection="1"/>
    <xf numFmtId="0" fontId="65" fillId="4" borderId="24" xfId="0" applyFont="1" applyFill="1" applyBorder="1" applyAlignment="1">
      <alignment horizontal="center" vertical="center" textRotation="90" wrapText="1"/>
    </xf>
    <xf numFmtId="0" fontId="105" fillId="11" borderId="0" xfId="0" applyFont="1" applyFill="1" applyBorder="1" applyAlignment="1" applyProtection="1">
      <alignment horizontal="right" vertical="center"/>
    </xf>
    <xf numFmtId="0" fontId="82" fillId="13" borderId="3" xfId="0" applyFont="1" applyFill="1" applyBorder="1" applyAlignment="1" applyProtection="1">
      <alignment horizontal="center" vertical="center"/>
    </xf>
    <xf numFmtId="1" fontId="23" fillId="10" borderId="3" xfId="0" applyNumberFormat="1" applyFont="1" applyFill="1" applyBorder="1" applyAlignment="1" applyProtection="1">
      <alignment horizontal="center" vertical="center" wrapText="1"/>
    </xf>
    <xf numFmtId="0" fontId="37" fillId="13" borderId="3" xfId="0" applyFont="1" applyFill="1" applyBorder="1" applyAlignment="1" applyProtection="1">
      <alignment horizontal="center" vertical="center"/>
    </xf>
    <xf numFmtId="0" fontId="111" fillId="29" borderId="3" xfId="0" applyFont="1" applyFill="1" applyBorder="1" applyAlignment="1" applyProtection="1">
      <alignment horizontal="center" vertical="center"/>
    </xf>
    <xf numFmtId="0" fontId="111" fillId="25" borderId="3" xfId="0" applyFont="1" applyFill="1" applyBorder="1" applyAlignment="1" applyProtection="1">
      <alignment horizontal="center" vertical="center"/>
    </xf>
    <xf numFmtId="0" fontId="111" fillId="25" borderId="3" xfId="0" applyFont="1" applyFill="1" applyBorder="1" applyAlignment="1">
      <alignment horizontal="center" vertical="center"/>
    </xf>
    <xf numFmtId="0" fontId="27" fillId="24" borderId="3" xfId="0" applyFont="1" applyFill="1" applyBorder="1" applyAlignment="1">
      <alignment horizontal="center"/>
    </xf>
    <xf numFmtId="0" fontId="27" fillId="24" borderId="3" xfId="0" applyFont="1" applyFill="1" applyBorder="1" applyAlignment="1">
      <alignment horizontal="center" vertical="center"/>
    </xf>
    <xf numFmtId="0" fontId="23" fillId="11" borderId="0" xfId="0" applyFont="1" applyFill="1" applyBorder="1" applyAlignment="1" applyProtection="1">
      <alignment horizontal="center"/>
    </xf>
    <xf numFmtId="0" fontId="23" fillId="11" borderId="0" xfId="0" applyFont="1" applyFill="1" applyBorder="1" applyProtection="1"/>
    <xf numFmtId="0" fontId="67" fillId="11" borderId="0" xfId="0" applyFont="1" applyFill="1" applyBorder="1"/>
    <xf numFmtId="0" fontId="114" fillId="11" borderId="0" xfId="0" applyFont="1" applyFill="1" applyBorder="1"/>
    <xf numFmtId="0" fontId="67" fillId="11" borderId="0" xfId="0" applyFont="1" applyFill="1" applyBorder="1" applyAlignment="1">
      <alignment horizontal="left" vertical="center"/>
    </xf>
    <xf numFmtId="0" fontId="67" fillId="11" borderId="0" xfId="0" applyFont="1" applyFill="1" applyBorder="1" applyAlignment="1">
      <alignment horizontal="center" vertical="center"/>
    </xf>
    <xf numFmtId="0" fontId="114" fillId="11" borderId="0" xfId="0" applyFont="1" applyFill="1" applyBorder="1" applyAlignment="1">
      <alignment horizontal="left" vertical="center"/>
    </xf>
    <xf numFmtId="0" fontId="99" fillId="11" borderId="0" xfId="0" applyFont="1" applyFill="1" applyBorder="1" applyAlignment="1">
      <alignment horizontal="left" vertical="center"/>
    </xf>
    <xf numFmtId="0" fontId="114" fillId="2" borderId="67" xfId="0" applyFont="1" applyFill="1" applyBorder="1" applyAlignment="1" applyProtection="1">
      <alignment horizontal="right" vertical="center" wrapText="1"/>
    </xf>
    <xf numFmtId="0" fontId="0" fillId="11" borderId="17" xfId="0" applyFill="1" applyBorder="1"/>
    <xf numFmtId="0" fontId="0" fillId="11" borderId="1" xfId="0" applyFill="1" applyBorder="1"/>
    <xf numFmtId="0" fontId="0" fillId="11" borderId="27" xfId="0" applyFill="1" applyBorder="1" applyAlignment="1" applyProtection="1"/>
    <xf numFmtId="0" fontId="67" fillId="11" borderId="1" xfId="0" applyFont="1" applyFill="1" applyBorder="1"/>
    <xf numFmtId="0" fontId="10" fillId="11" borderId="27" xfId="0" applyFont="1" applyFill="1" applyBorder="1" applyAlignment="1">
      <alignment horizontal="center"/>
    </xf>
    <xf numFmtId="0" fontId="0" fillId="11" borderId="27" xfId="0" applyFill="1" applyBorder="1"/>
    <xf numFmtId="0" fontId="17" fillId="11" borderId="1" xfId="0" applyFont="1" applyFill="1" applyBorder="1" applyAlignment="1">
      <alignment vertical="center" wrapText="1"/>
    </xf>
    <xf numFmtId="0" fontId="17" fillId="11" borderId="25" xfId="0" applyFont="1" applyFill="1" applyBorder="1" applyAlignment="1">
      <alignment vertical="center" wrapText="1"/>
    </xf>
    <xf numFmtId="0" fontId="47" fillId="11" borderId="5" xfId="0" applyFont="1" applyFill="1" applyBorder="1" applyAlignment="1" applyProtection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47" fillId="11" borderId="5" xfId="0" applyFont="1" applyFill="1" applyBorder="1" applyAlignment="1" applyProtection="1">
      <alignment vertical="center" wrapText="1"/>
    </xf>
    <xf numFmtId="0" fontId="0" fillId="11" borderId="5" xfId="0" applyFill="1" applyBorder="1"/>
    <xf numFmtId="0" fontId="0" fillId="11" borderId="26" xfId="0" applyFill="1" applyBorder="1"/>
    <xf numFmtId="0" fontId="0" fillId="4" borderId="10" xfId="0" applyFill="1" applyBorder="1" applyAlignment="1" applyProtection="1">
      <alignment horizontal="center"/>
      <protection locked="0"/>
    </xf>
    <xf numFmtId="0" fontId="37" fillId="10" borderId="3" xfId="0" applyFont="1" applyFill="1" applyBorder="1" applyAlignment="1" applyProtection="1">
      <alignment horizontal="center" vertical="center"/>
    </xf>
    <xf numFmtId="0" fontId="71" fillId="12" borderId="14" xfId="0" applyFont="1" applyFill="1" applyBorder="1" applyAlignment="1" applyProtection="1">
      <alignment horizontal="left" vertical="center"/>
    </xf>
    <xf numFmtId="0" fontId="72" fillId="12" borderId="15" xfId="0" applyFont="1" applyFill="1" applyBorder="1" applyAlignment="1" applyProtection="1">
      <alignment horizontal="left" vertical="center"/>
    </xf>
    <xf numFmtId="0" fontId="72" fillId="12" borderId="10" xfId="0" applyFont="1" applyFill="1" applyBorder="1" applyAlignment="1" applyProtection="1">
      <alignment horizontal="left" vertical="center"/>
    </xf>
    <xf numFmtId="0" fontId="7" fillId="12" borderId="14" xfId="0" applyFont="1" applyFill="1" applyBorder="1" applyAlignment="1" applyProtection="1">
      <alignment horizontal="left" vertical="center"/>
    </xf>
    <xf numFmtId="0" fontId="7" fillId="12" borderId="15" xfId="0" applyFont="1" applyFill="1" applyBorder="1" applyAlignment="1" applyProtection="1">
      <alignment horizontal="left" vertical="center"/>
    </xf>
    <xf numFmtId="0" fontId="7" fillId="12" borderId="10" xfId="0" applyFont="1" applyFill="1" applyBorder="1" applyAlignment="1" applyProtection="1">
      <alignment horizontal="left" vertical="center"/>
    </xf>
    <xf numFmtId="0" fontId="65" fillId="12" borderId="0" xfId="0" applyFont="1" applyFill="1" applyBorder="1" applyAlignment="1" applyProtection="1">
      <alignment horizontal="left" vertical="center" wrapText="1"/>
    </xf>
    <xf numFmtId="14" fontId="1" fillId="12" borderId="54" xfId="0" applyNumberFormat="1" applyFont="1" applyFill="1" applyBorder="1" applyAlignment="1" applyProtection="1">
      <alignment horizontal="right" vertical="center"/>
    </xf>
    <xf numFmtId="0" fontId="77" fillId="11" borderId="0" xfId="0" applyFont="1" applyFill="1" applyBorder="1" applyAlignment="1" applyProtection="1">
      <alignment horizontal="right" vertical="center"/>
    </xf>
    <xf numFmtId="0" fontId="27" fillId="29" borderId="3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right" vertical="center" wrapText="1"/>
    </xf>
    <xf numFmtId="0" fontId="4" fillId="18" borderId="2" xfId="0" applyFont="1" applyFill="1" applyBorder="1" applyAlignment="1" applyProtection="1">
      <alignment horizontal="center" vertical="center" wrapText="1"/>
    </xf>
    <xf numFmtId="0" fontId="39" fillId="11" borderId="0" xfId="0" applyFont="1" applyFill="1" applyBorder="1" applyAlignment="1" applyProtection="1">
      <alignment wrapText="1"/>
    </xf>
    <xf numFmtId="2" fontId="0" fillId="11" borderId="0" xfId="0" applyNumberFormat="1" applyFill="1" applyProtection="1"/>
    <xf numFmtId="14" fontId="4" fillId="12" borderId="53" xfId="0" applyNumberFormat="1" applyFont="1" applyFill="1" applyBorder="1" applyProtection="1"/>
    <xf numFmtId="14" fontId="2" fillId="12" borderId="54" xfId="0" applyNumberFormat="1" applyFont="1" applyFill="1" applyBorder="1" applyAlignment="1" applyProtection="1">
      <alignment horizontal="right" vertical="center"/>
    </xf>
    <xf numFmtId="0" fontId="62" fillId="11" borderId="15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vertical="center"/>
    </xf>
    <xf numFmtId="0" fontId="4" fillId="11" borderId="0" xfId="0" applyFont="1" applyFill="1" applyBorder="1" applyAlignment="1" applyProtection="1">
      <alignment horizontal="left" vertical="center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9" borderId="3" xfId="0" applyFont="1" applyFill="1" applyBorder="1" applyAlignment="1" applyProtection="1">
      <alignment horizontal="center"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4" borderId="3" xfId="0" applyFont="1" applyFill="1" applyBorder="1" applyAlignment="1" applyProtection="1">
      <alignment horizontal="center" vertical="center"/>
      <protection locked="0"/>
    </xf>
    <xf numFmtId="0" fontId="73" fillId="4" borderId="3" xfId="0" applyFont="1" applyFill="1" applyBorder="1" applyAlignment="1" applyProtection="1">
      <alignment horizontal="center" vertical="center"/>
      <protection locked="0"/>
    </xf>
    <xf numFmtId="0" fontId="62" fillId="4" borderId="4" xfId="0" applyFont="1" applyFill="1" applyBorder="1" applyAlignment="1" applyProtection="1">
      <alignment horizontal="center" vertical="center"/>
      <protection locked="0"/>
    </xf>
    <xf numFmtId="0" fontId="10" fillId="11" borderId="59" xfId="0" applyFont="1" applyFill="1" applyBorder="1" applyAlignment="1" applyProtection="1">
      <alignment horizontal="center"/>
    </xf>
    <xf numFmtId="0" fontId="81" fillId="11" borderId="0" xfId="0" applyFont="1" applyFill="1" applyBorder="1" applyAlignment="1" applyProtection="1">
      <alignment horizontal="center" vertical="center"/>
    </xf>
    <xf numFmtId="0" fontId="80" fillId="11" borderId="0" xfId="0" applyFont="1" applyFill="1" applyBorder="1" applyAlignment="1" applyProtection="1">
      <alignment horizontal="center" vertical="center"/>
    </xf>
    <xf numFmtId="0" fontId="2" fillId="11" borderId="0" xfId="0" applyFont="1" applyFill="1" applyBorder="1" applyProtection="1"/>
    <xf numFmtId="0" fontId="53" fillId="11" borderId="0" xfId="0" applyFont="1" applyFill="1" applyBorder="1" applyProtection="1"/>
    <xf numFmtId="0" fontId="23" fillId="11" borderId="0" xfId="0" applyFont="1" applyFill="1" applyAlignment="1" applyProtection="1">
      <alignment vertical="center"/>
    </xf>
    <xf numFmtId="0" fontId="40" fillId="11" borderId="0" xfId="0" applyFont="1" applyFill="1" applyBorder="1" applyAlignment="1" applyProtection="1">
      <alignment horizontal="center" vertical="center" wrapText="1"/>
    </xf>
    <xf numFmtId="9" fontId="40" fillId="11" borderId="0" xfId="4" applyFont="1" applyFill="1" applyBorder="1" applyAlignment="1" applyProtection="1">
      <alignment horizontal="center"/>
    </xf>
    <xf numFmtId="0" fontId="1" fillId="11" borderId="0" xfId="0" applyFont="1" applyFill="1" applyAlignment="1" applyProtection="1">
      <alignment horizontal="right"/>
    </xf>
    <xf numFmtId="0" fontId="1" fillId="11" borderId="5" xfId="0" applyFont="1" applyFill="1" applyBorder="1" applyAlignment="1" applyProtection="1">
      <alignment horizontal="right"/>
    </xf>
    <xf numFmtId="0" fontId="1" fillId="11" borderId="0" xfId="0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9" fontId="0" fillId="11" borderId="0" xfId="4" applyFont="1" applyFill="1" applyAlignment="1" applyProtection="1">
      <alignment vertical="center"/>
    </xf>
    <xf numFmtId="0" fontId="0" fillId="11" borderId="75" xfId="0" applyFill="1" applyBorder="1" applyProtection="1"/>
    <xf numFmtId="0" fontId="1" fillId="11" borderId="5" xfId="0" applyFont="1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0" fontId="0" fillId="4" borderId="0" xfId="0" applyFill="1" applyProtection="1"/>
    <xf numFmtId="0" fontId="77" fillId="11" borderId="0" xfId="0" applyFont="1" applyFill="1" applyBorder="1" applyAlignment="1" applyProtection="1">
      <alignment vertical="center" wrapText="1"/>
    </xf>
    <xf numFmtId="0" fontId="126" fillId="31" borderId="3" xfId="0" applyFont="1" applyFill="1" applyBorder="1" applyAlignment="1" applyProtection="1">
      <alignment horizontal="center" vertical="center"/>
    </xf>
    <xf numFmtId="0" fontId="111" fillId="31" borderId="3" xfId="0" applyFont="1" applyFill="1" applyBorder="1" applyAlignment="1">
      <alignment horizontal="center" vertical="center"/>
    </xf>
    <xf numFmtId="0" fontId="66" fillId="22" borderId="3" xfId="0" applyFont="1" applyFill="1" applyBorder="1" applyAlignment="1">
      <alignment horizontal="center" vertical="center"/>
    </xf>
    <xf numFmtId="0" fontId="59" fillId="32" borderId="3" xfId="0" applyFont="1" applyFill="1" applyBorder="1" applyAlignment="1">
      <alignment horizontal="center" vertical="center"/>
    </xf>
    <xf numFmtId="0" fontId="51" fillId="22" borderId="3" xfId="0" applyFont="1" applyFill="1" applyBorder="1" applyAlignment="1" applyProtection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3" xfId="0" applyFont="1" applyFill="1" applyBorder="1" applyAlignment="1">
      <alignment horizontal="center" vertical="center"/>
    </xf>
    <xf numFmtId="0" fontId="1" fillId="0" borderId="0" xfId="0" applyFont="1" applyFill="1"/>
    <xf numFmtId="0" fontId="0" fillId="29" borderId="3" xfId="0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0" fillId="11" borderId="21" xfId="0" applyFill="1" applyBorder="1"/>
    <xf numFmtId="0" fontId="0" fillId="11" borderId="22" xfId="0" applyFill="1" applyBorder="1"/>
    <xf numFmtId="0" fontId="111" fillId="29" borderId="33" xfId="0" applyFont="1" applyFill="1" applyBorder="1" applyAlignment="1" applyProtection="1">
      <alignment horizontal="center" vertical="center"/>
    </xf>
    <xf numFmtId="0" fontId="37" fillId="4" borderId="33" xfId="0" applyFont="1" applyFill="1" applyBorder="1" applyAlignment="1" applyProtection="1">
      <alignment horizontal="center" vertical="center"/>
      <protection locked="0"/>
    </xf>
    <xf numFmtId="0" fontId="0" fillId="11" borderId="78" xfId="0" applyFill="1" applyBorder="1" applyAlignment="1">
      <alignment horizontal="left" vertical="center"/>
    </xf>
    <xf numFmtId="0" fontId="37" fillId="4" borderId="24" xfId="0" applyFont="1" applyFill="1" applyBorder="1" applyAlignment="1" applyProtection="1">
      <alignment horizontal="center" vertical="center"/>
      <protection locked="0"/>
    </xf>
    <xf numFmtId="0" fontId="37" fillId="4" borderId="79" xfId="0" applyFont="1" applyFill="1" applyBorder="1" applyAlignment="1" applyProtection="1">
      <alignment horizontal="center" vertical="center"/>
      <protection locked="0"/>
    </xf>
    <xf numFmtId="0" fontId="37" fillId="4" borderId="34" xfId="0" applyFont="1" applyFill="1" applyBorder="1" applyAlignment="1" applyProtection="1">
      <alignment horizontal="center" vertical="center"/>
      <protection locked="0"/>
    </xf>
    <xf numFmtId="0" fontId="80" fillId="11" borderId="21" xfId="0" applyFont="1" applyFill="1" applyBorder="1" applyAlignment="1">
      <alignment horizontal="center" vertical="center"/>
    </xf>
    <xf numFmtId="0" fontId="80" fillId="11" borderId="22" xfId="0" applyFont="1" applyFill="1" applyBorder="1" applyAlignment="1">
      <alignment horizontal="center" vertical="center"/>
    </xf>
    <xf numFmtId="0" fontId="17" fillId="20" borderId="38" xfId="0" applyFont="1" applyFill="1" applyBorder="1" applyAlignment="1" applyProtection="1">
      <alignment horizontal="left" vertical="center" wrapText="1"/>
    </xf>
    <xf numFmtId="0" fontId="17" fillId="20" borderId="81" xfId="0" applyFont="1" applyFill="1" applyBorder="1" applyAlignment="1" applyProtection="1">
      <alignment horizontal="left" vertical="center" wrapText="1"/>
    </xf>
    <xf numFmtId="0" fontId="66" fillId="22" borderId="33" xfId="0" applyFont="1" applyFill="1" applyBorder="1" applyAlignment="1">
      <alignment horizontal="center" vertical="center"/>
    </xf>
    <xf numFmtId="0" fontId="52" fillId="11" borderId="78" xfId="0" applyFont="1" applyFill="1" applyBorder="1"/>
    <xf numFmtId="0" fontId="59" fillId="32" borderId="33" xfId="0" applyFont="1" applyFill="1" applyBorder="1" applyAlignment="1">
      <alignment horizontal="center" vertical="center"/>
    </xf>
    <xf numFmtId="9" fontId="52" fillId="21" borderId="0" xfId="4" applyFont="1" applyFill="1" applyBorder="1" applyAlignment="1">
      <alignment horizontal="center"/>
    </xf>
    <xf numFmtId="9" fontId="127" fillId="21" borderId="0" xfId="0" applyNumberFormat="1" applyFont="1" applyFill="1" applyAlignment="1">
      <alignment horizontal="center"/>
    </xf>
    <xf numFmtId="0" fontId="52" fillId="21" borderId="0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3" xfId="0" applyFill="1" applyBorder="1"/>
    <xf numFmtId="0" fontId="1" fillId="11" borderId="0" xfId="0" applyFont="1" applyFill="1" applyBorder="1"/>
    <xf numFmtId="0" fontId="37" fillId="4" borderId="48" xfId="0" applyFont="1" applyFill="1" applyBorder="1" applyAlignment="1" applyProtection="1">
      <alignment horizontal="center" vertical="center"/>
      <protection locked="0"/>
    </xf>
    <xf numFmtId="0" fontId="52" fillId="11" borderId="8" xfId="0" applyFont="1" applyFill="1" applyBorder="1"/>
    <xf numFmtId="0" fontId="111" fillId="25" borderId="33" xfId="0" applyFont="1" applyFill="1" applyBorder="1" applyAlignment="1">
      <alignment horizontal="center" vertical="center"/>
    </xf>
    <xf numFmtId="2" fontId="129" fillId="34" borderId="3" xfId="1" applyNumberFormat="1" applyFont="1" applyFill="1" applyBorder="1" applyAlignment="1" applyProtection="1">
      <alignment horizontal="center" vertical="center"/>
    </xf>
    <xf numFmtId="0" fontId="0" fillId="31" borderId="3" xfId="0" applyFill="1" applyBorder="1" applyAlignment="1">
      <alignment horizontal="center" vertical="center"/>
    </xf>
    <xf numFmtId="0" fontId="1" fillId="21" borderId="0" xfId="0" applyFont="1" applyFill="1"/>
    <xf numFmtId="0" fontId="1" fillId="9" borderId="0" xfId="0" applyFont="1" applyFill="1" applyBorder="1"/>
    <xf numFmtId="0" fontId="128" fillId="29" borderId="3" xfId="0" applyFont="1" applyFill="1" applyBorder="1" applyAlignment="1">
      <alignment horizontal="center" vertical="center"/>
    </xf>
    <xf numFmtId="0" fontId="58" fillId="9" borderId="0" xfId="0" applyFont="1" applyFill="1" applyBorder="1" applyAlignment="1">
      <alignment horizontal="center" vertical="center"/>
    </xf>
    <xf numFmtId="0" fontId="66" fillId="33" borderId="3" xfId="0" applyFont="1" applyFill="1" applyBorder="1" applyAlignment="1">
      <alignment horizontal="center" vertical="center"/>
    </xf>
    <xf numFmtId="0" fontId="66" fillId="35" borderId="3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 wrapText="1"/>
    </xf>
    <xf numFmtId="0" fontId="6" fillId="11" borderId="22" xfId="0" applyFont="1" applyFill="1" applyBorder="1" applyAlignment="1">
      <alignment vertical="center" wrapText="1"/>
    </xf>
    <xf numFmtId="0" fontId="12" fillId="12" borderId="38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51" fillId="11" borderId="21" xfId="0" applyFont="1" applyFill="1" applyBorder="1" applyAlignment="1">
      <alignment horizontal="center" vertical="top" wrapText="1"/>
    </xf>
    <xf numFmtId="0" fontId="51" fillId="11" borderId="22" xfId="0" applyFont="1" applyFill="1" applyBorder="1" applyAlignment="1">
      <alignment horizontal="center" vertical="top" wrapText="1"/>
    </xf>
    <xf numFmtId="0" fontId="104" fillId="14" borderId="33" xfId="0" applyFont="1" applyFill="1" applyBorder="1" applyAlignment="1">
      <alignment horizontal="center" vertical="center"/>
    </xf>
    <xf numFmtId="0" fontId="69" fillId="22" borderId="3" xfId="0" applyFont="1" applyFill="1" applyBorder="1" applyAlignment="1">
      <alignment horizontal="center" vertical="center"/>
    </xf>
    <xf numFmtId="0" fontId="69" fillId="22" borderId="33" xfId="0" applyFont="1" applyFill="1" applyBorder="1" applyAlignment="1">
      <alignment horizontal="center" vertical="center"/>
    </xf>
    <xf numFmtId="0" fontId="51" fillId="35" borderId="3" xfId="0" applyFont="1" applyFill="1" applyBorder="1" applyAlignment="1">
      <alignment horizontal="center" vertical="center"/>
    </xf>
    <xf numFmtId="0" fontId="51" fillId="35" borderId="33" xfId="0" applyFont="1" applyFill="1" applyBorder="1" applyAlignment="1">
      <alignment horizontal="center" vertical="center"/>
    </xf>
    <xf numFmtId="0" fontId="37" fillId="11" borderId="24" xfId="0" applyFont="1" applyFill="1" applyBorder="1" applyAlignment="1" applyProtection="1">
      <alignment horizontal="center" vertical="center"/>
    </xf>
    <xf numFmtId="0" fontId="51" fillId="36" borderId="3" xfId="0" applyFont="1" applyFill="1" applyBorder="1" applyAlignment="1">
      <alignment horizontal="center" vertical="center"/>
    </xf>
    <xf numFmtId="0" fontId="51" fillId="36" borderId="33" xfId="0" applyFont="1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6" borderId="3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51" fillId="4" borderId="21" xfId="0" applyFont="1" applyFill="1" applyBorder="1" applyAlignment="1" applyProtection="1">
      <alignment horizontal="center" vertical="top" wrapText="1"/>
    </xf>
    <xf numFmtId="0" fontId="51" fillId="4" borderId="22" xfId="0" applyFont="1" applyFill="1" applyBorder="1" applyAlignment="1" applyProtection="1">
      <alignment horizontal="center" vertical="top" wrapText="1"/>
    </xf>
    <xf numFmtId="0" fontId="51" fillId="11" borderId="21" xfId="0" applyFont="1" applyFill="1" applyBorder="1" applyAlignment="1" applyProtection="1">
      <alignment horizontal="center" vertical="top" wrapText="1"/>
    </xf>
    <xf numFmtId="0" fontId="51" fillId="11" borderId="22" xfId="0" applyFont="1" applyFill="1" applyBorder="1" applyAlignment="1" applyProtection="1">
      <alignment horizontal="center" vertical="top" wrapText="1"/>
    </xf>
    <xf numFmtId="0" fontId="63" fillId="0" borderId="24" xfId="0" applyFont="1" applyFill="1" applyBorder="1" applyAlignment="1" applyProtection="1">
      <alignment horizontal="center" vertical="center" wrapText="1"/>
      <protection locked="0"/>
    </xf>
    <xf numFmtId="0" fontId="104" fillId="14" borderId="33" xfId="0" applyFont="1" applyFill="1" applyBorder="1" applyAlignment="1" applyProtection="1">
      <alignment horizontal="center" vertical="center"/>
    </xf>
    <xf numFmtId="0" fontId="63" fillId="0" borderId="33" xfId="0" applyFont="1" applyFill="1" applyBorder="1" applyAlignment="1" applyProtection="1">
      <alignment horizontal="center" vertical="center" wrapText="1"/>
      <protection locked="0"/>
    </xf>
    <xf numFmtId="0" fontId="0" fillId="11" borderId="8" xfId="0" applyFill="1" applyBorder="1" applyProtection="1"/>
    <xf numFmtId="0" fontId="63" fillId="0" borderId="34" xfId="0" applyFont="1" applyFill="1" applyBorder="1" applyAlignment="1" applyProtection="1">
      <alignment horizontal="center" vertical="center" wrapText="1"/>
      <protection locked="0"/>
    </xf>
    <xf numFmtId="0" fontId="56" fillId="11" borderId="21" xfId="0" applyFont="1" applyFill="1" applyBorder="1" applyAlignment="1" applyProtection="1">
      <alignment horizontal="center" vertical="top" wrapText="1"/>
    </xf>
    <xf numFmtId="0" fontId="56" fillId="11" borderId="22" xfId="0" applyFont="1" applyFill="1" applyBorder="1" applyAlignment="1" applyProtection="1">
      <alignment horizontal="center" vertical="top" wrapText="1"/>
    </xf>
    <xf numFmtId="0" fontId="68" fillId="0" borderId="24" xfId="0" applyFont="1" applyFill="1" applyBorder="1" applyAlignment="1" applyProtection="1">
      <alignment horizontal="center" vertical="center" wrapText="1"/>
      <protection locked="0"/>
    </xf>
    <xf numFmtId="0" fontId="126" fillId="31" borderId="33" xfId="0" applyFont="1" applyFill="1" applyBorder="1" applyAlignment="1" applyProtection="1">
      <alignment horizontal="center" vertical="center"/>
    </xf>
    <xf numFmtId="0" fontId="0" fillId="11" borderId="21" xfId="0" applyFill="1" applyBorder="1" applyProtection="1"/>
    <xf numFmtId="0" fontId="0" fillId="11" borderId="22" xfId="0" applyFill="1" applyBorder="1" applyProtection="1"/>
    <xf numFmtId="0" fontId="52" fillId="11" borderId="21" xfId="0" applyFont="1" applyFill="1" applyBorder="1" applyAlignment="1" applyProtection="1">
      <alignment horizontal="left" vertical="center"/>
    </xf>
    <xf numFmtId="0" fontId="37" fillId="9" borderId="24" xfId="0" applyFont="1" applyFill="1" applyBorder="1" applyAlignment="1" applyProtection="1">
      <alignment horizontal="center" vertical="center"/>
      <protection locked="0"/>
    </xf>
    <xf numFmtId="0" fontId="37" fillId="9" borderId="48" xfId="0" applyFont="1" applyFill="1" applyBorder="1" applyAlignment="1" applyProtection="1">
      <alignment horizontal="center" vertical="center"/>
      <protection locked="0"/>
    </xf>
    <xf numFmtId="0" fontId="52" fillId="9" borderId="38" xfId="0" applyFont="1" applyFill="1" applyBorder="1" applyAlignment="1" applyProtection="1">
      <alignment vertical="center"/>
    </xf>
    <xf numFmtId="0" fontId="66" fillId="14" borderId="33" xfId="0" applyFont="1" applyFill="1" applyBorder="1" applyAlignment="1" applyProtection="1">
      <alignment horizontal="center" vertical="center"/>
    </xf>
    <xf numFmtId="0" fontId="37" fillId="9" borderId="33" xfId="0" applyFont="1" applyFill="1" applyBorder="1" applyAlignment="1" applyProtection="1">
      <alignment horizontal="center" vertical="center"/>
      <protection locked="0"/>
    </xf>
    <xf numFmtId="0" fontId="52" fillId="11" borderId="8" xfId="0" applyFont="1" applyFill="1" applyBorder="1" applyProtection="1"/>
    <xf numFmtId="0" fontId="111" fillId="25" borderId="33" xfId="0" applyFont="1" applyFill="1" applyBorder="1" applyAlignment="1" applyProtection="1">
      <alignment horizontal="center" vertical="center"/>
    </xf>
    <xf numFmtId="0" fontId="37" fillId="9" borderId="34" xfId="0" applyFont="1" applyFill="1" applyBorder="1" applyAlignment="1" applyProtection="1">
      <alignment horizontal="center" vertical="center"/>
      <protection locked="0"/>
    </xf>
    <xf numFmtId="0" fontId="130" fillId="13" borderId="10" xfId="0" applyFont="1" applyFill="1" applyBorder="1" applyAlignment="1" applyProtection="1">
      <alignment horizontal="center" vertical="center" textRotation="90" wrapText="1"/>
      <protection locked="0"/>
    </xf>
    <xf numFmtId="0" fontId="130" fillId="13" borderId="3" xfId="0" applyFont="1" applyFill="1" applyBorder="1" applyAlignment="1" applyProtection="1">
      <alignment horizontal="center" vertical="center" textRotation="90" wrapText="1"/>
      <protection locked="0"/>
    </xf>
    <xf numFmtId="0" fontId="130" fillId="13" borderId="24" xfId="0" applyFont="1" applyFill="1" applyBorder="1" applyAlignment="1" applyProtection="1">
      <alignment horizontal="center" vertical="center" textRotation="90" wrapText="1"/>
      <protection locked="0"/>
    </xf>
    <xf numFmtId="0" fontId="130" fillId="13" borderId="23" xfId="0" applyFont="1" applyFill="1" applyBorder="1" applyAlignment="1" applyProtection="1">
      <alignment horizontal="center" vertical="center" textRotation="90" wrapText="1"/>
      <protection locked="0"/>
    </xf>
    <xf numFmtId="0" fontId="130" fillId="13" borderId="14" xfId="0" applyFont="1" applyFill="1" applyBorder="1" applyAlignment="1" applyProtection="1">
      <alignment horizontal="center" vertical="center" textRotation="90" wrapText="1"/>
      <protection locked="0"/>
    </xf>
    <xf numFmtId="0" fontId="130" fillId="2" borderId="17" xfId="0" applyFont="1" applyFill="1" applyBorder="1" applyAlignment="1" applyProtection="1">
      <alignment horizontal="center" vertical="center" textRotation="90" wrapText="1"/>
      <protection locked="0"/>
    </xf>
    <xf numFmtId="0" fontId="130" fillId="2" borderId="2" xfId="0" applyFont="1" applyFill="1" applyBorder="1" applyAlignment="1" applyProtection="1">
      <alignment horizontal="center" vertical="center" textRotation="90" wrapText="1"/>
      <protection locked="0"/>
    </xf>
    <xf numFmtId="0" fontId="130" fillId="2" borderId="30" xfId="0" applyFont="1" applyFill="1" applyBorder="1" applyAlignment="1" applyProtection="1">
      <alignment horizontal="center" vertical="center" textRotation="90" wrapText="1"/>
      <protection locked="0"/>
    </xf>
    <xf numFmtId="0" fontId="130" fillId="2" borderId="29" xfId="0" applyFont="1" applyFill="1" applyBorder="1" applyAlignment="1" applyProtection="1">
      <alignment horizontal="center" vertical="center" textRotation="90" wrapText="1"/>
      <protection locked="0"/>
    </xf>
    <xf numFmtId="0" fontId="130" fillId="2" borderId="28" xfId="0" applyFont="1" applyFill="1" applyBorder="1" applyAlignment="1" applyProtection="1">
      <alignment horizontal="center" vertical="center" textRotation="90" wrapText="1"/>
      <protection locked="0"/>
    </xf>
    <xf numFmtId="0" fontId="17" fillId="20" borderId="28" xfId="0" applyFont="1" applyFill="1" applyBorder="1" applyAlignment="1">
      <alignment vertical="center" wrapText="1"/>
    </xf>
    <xf numFmtId="0" fontId="47" fillId="20" borderId="17" xfId="0" applyFont="1" applyFill="1" applyBorder="1" applyAlignment="1" applyProtection="1">
      <alignment horizontal="center" vertical="center" wrapText="1"/>
    </xf>
    <xf numFmtId="0" fontId="17" fillId="20" borderId="1" xfId="0" applyFont="1" applyFill="1" applyBorder="1" applyAlignment="1">
      <alignment vertical="center" wrapText="1"/>
    </xf>
    <xf numFmtId="0" fontId="47" fillId="20" borderId="27" xfId="0" applyFont="1" applyFill="1" applyBorder="1" applyAlignment="1" applyProtection="1">
      <alignment horizontal="center" vertical="center" wrapText="1"/>
    </xf>
    <xf numFmtId="0" fontId="0" fillId="20" borderId="27" xfId="0" applyFill="1" applyBorder="1" applyAlignment="1" applyProtection="1">
      <alignment horizontal="center"/>
      <protection locked="0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 applyAlignment="1" applyProtection="1">
      <alignment horizontal="center"/>
      <protection locked="0"/>
    </xf>
    <xf numFmtId="0" fontId="35" fillId="20" borderId="0" xfId="0" applyFont="1" applyFill="1" applyBorder="1" applyAlignment="1" applyProtection="1">
      <alignment horizontal="center" vertical="center" wrapText="1"/>
      <protection locked="0"/>
    </xf>
    <xf numFmtId="0" fontId="1" fillId="20" borderId="0" xfId="0" applyFont="1" applyFill="1" applyBorder="1" applyAlignment="1" applyProtection="1">
      <alignment horizontal="center" vertical="center" wrapText="1"/>
      <protection locked="0"/>
    </xf>
    <xf numFmtId="0" fontId="1" fillId="20" borderId="0" xfId="0" applyFont="1" applyFill="1" applyBorder="1" applyAlignment="1" applyProtection="1">
      <alignment horizontal="center" vertical="center" textRotation="90" wrapText="1"/>
      <protection locked="0"/>
    </xf>
    <xf numFmtId="0" fontId="0" fillId="20" borderId="0" xfId="0" applyFill="1" applyBorder="1"/>
    <xf numFmtId="0" fontId="0" fillId="20" borderId="27" xfId="0" applyFill="1" applyBorder="1"/>
    <xf numFmtId="0" fontId="0" fillId="20" borderId="26" xfId="0" applyFill="1" applyBorder="1"/>
    <xf numFmtId="0" fontId="0" fillId="20" borderId="25" xfId="0" applyFill="1" applyBorder="1"/>
    <xf numFmtId="0" fontId="0" fillId="20" borderId="1" xfId="0" applyFill="1" applyBorder="1"/>
    <xf numFmtId="0" fontId="4" fillId="20" borderId="27" xfId="0" applyFont="1" applyFill="1" applyBorder="1"/>
    <xf numFmtId="0" fontId="0" fillId="20" borderId="0" xfId="0" applyFill="1" applyBorder="1" applyAlignment="1"/>
    <xf numFmtId="0" fontId="4" fillId="20" borderId="0" xfId="0" applyFont="1" applyFill="1" applyBorder="1"/>
    <xf numFmtId="0" fontId="0" fillId="20" borderId="5" xfId="0" applyFill="1" applyBorder="1"/>
    <xf numFmtId="0" fontId="65" fillId="13" borderId="23" xfId="0" applyFont="1" applyFill="1" applyBorder="1" applyAlignment="1">
      <alignment horizontal="center" vertical="center" textRotation="90" wrapText="1"/>
    </xf>
    <xf numFmtId="0" fontId="65" fillId="13" borderId="3" xfId="0" applyFont="1" applyFill="1" applyBorder="1" applyAlignment="1">
      <alignment horizontal="center" vertical="center" textRotation="90" wrapText="1"/>
    </xf>
    <xf numFmtId="0" fontId="114" fillId="20" borderId="10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3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24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23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14" xfId="0" applyFont="1" applyFill="1" applyBorder="1" applyAlignment="1" applyProtection="1">
      <alignment horizontal="center" vertical="center" textRotation="90" wrapText="1"/>
      <protection locked="0"/>
    </xf>
    <xf numFmtId="0" fontId="114" fillId="24" borderId="27" xfId="0" applyFont="1" applyFill="1" applyBorder="1" applyAlignment="1">
      <alignment horizontal="right"/>
    </xf>
    <xf numFmtId="0" fontId="114" fillId="24" borderId="26" xfId="0" applyFont="1" applyFill="1" applyBorder="1"/>
    <xf numFmtId="0" fontId="114" fillId="24" borderId="1" xfId="0" applyFont="1" applyFill="1" applyBorder="1" applyAlignment="1">
      <alignment horizontal="right"/>
    </xf>
    <xf numFmtId="0" fontId="114" fillId="24" borderId="25" xfId="0" applyFont="1" applyFill="1" applyBorder="1"/>
    <xf numFmtId="0" fontId="22" fillId="0" borderId="3" xfId="0" applyFont="1" applyBorder="1"/>
    <xf numFmtId="9" fontId="132" fillId="13" borderId="0" xfId="4" applyFont="1" applyFill="1" applyAlignment="1"/>
    <xf numFmtId="0" fontId="0" fillId="37" borderId="3" xfId="0" applyFill="1" applyBorder="1"/>
    <xf numFmtId="0" fontId="9" fillId="0" borderId="0" xfId="0" applyFont="1" applyFill="1" applyAlignment="1" applyProtection="1">
      <alignment horizontal="right" vertical="center"/>
    </xf>
    <xf numFmtId="0" fontId="12" fillId="2" borderId="67" xfId="0" applyFont="1" applyFill="1" applyBorder="1" applyAlignment="1" applyProtection="1">
      <alignment horizontal="right" vertical="center" wrapText="1"/>
    </xf>
    <xf numFmtId="0" fontId="93" fillId="11" borderId="0" xfId="0" applyFont="1" applyFill="1" applyBorder="1" applyProtection="1"/>
    <xf numFmtId="0" fontId="0" fillId="20" borderId="0" xfId="0" applyFill="1"/>
    <xf numFmtId="0" fontId="67" fillId="11" borderId="3" xfId="0" applyFont="1" applyFill="1" applyBorder="1"/>
    <xf numFmtId="0" fontId="22" fillId="9" borderId="3" xfId="0" applyFont="1" applyFill="1" applyBorder="1"/>
    <xf numFmtId="0" fontId="22" fillId="9" borderId="0" xfId="0" applyFont="1" applyFill="1"/>
    <xf numFmtId="0" fontId="22" fillId="9" borderId="73" xfId="0" applyFont="1" applyFill="1" applyBorder="1"/>
    <xf numFmtId="0" fontId="22" fillId="9" borderId="4" xfId="0" applyFont="1" applyFill="1" applyBorder="1"/>
    <xf numFmtId="2" fontId="129" fillId="34" borderId="3" xfId="1" applyNumberFormat="1" applyFont="1" applyFill="1" applyBorder="1" applyAlignment="1" applyProtection="1">
      <alignment vertical="center"/>
    </xf>
    <xf numFmtId="0" fontId="22" fillId="21" borderId="0" xfId="0" applyFont="1" applyFill="1" applyAlignment="1">
      <alignment horizontal="center" vertical="center"/>
    </xf>
    <xf numFmtId="0" fontId="67" fillId="13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52" fillId="0" borderId="3" xfId="0" applyFont="1" applyBorder="1"/>
    <xf numFmtId="0" fontId="52" fillId="0" borderId="0" xfId="0" applyFont="1"/>
    <xf numFmtId="9" fontId="52" fillId="0" borderId="0" xfId="0" applyNumberFormat="1" applyFont="1"/>
    <xf numFmtId="0" fontId="52" fillId="0" borderId="3" xfId="0" applyFont="1" applyFill="1" applyBorder="1"/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2" fillId="12" borderId="2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0" fillId="14" borderId="32" xfId="0" applyFont="1" applyFill="1" applyBorder="1" applyAlignment="1">
      <alignment horizontal="center" vertical="center" wrapText="1"/>
    </xf>
    <xf numFmtId="0" fontId="120" fillId="11" borderId="0" xfId="0" applyFont="1" applyFill="1" applyAlignment="1" applyProtection="1">
      <alignment horizontal="right"/>
    </xf>
    <xf numFmtId="0" fontId="77" fillId="11" borderId="0" xfId="0" applyFont="1" applyFill="1" applyBorder="1" applyAlignment="1" applyProtection="1">
      <alignment horizontal="left" vertical="center"/>
    </xf>
    <xf numFmtId="0" fontId="45" fillId="5" borderId="21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45" fillId="5" borderId="0" xfId="0" applyFont="1" applyFill="1" applyBorder="1" applyAlignment="1" applyProtection="1">
      <alignment horizontal="left" vertical="center"/>
    </xf>
    <xf numFmtId="0" fontId="45" fillId="5" borderId="22" xfId="0" applyFont="1" applyFill="1" applyBorder="1" applyAlignment="1" applyProtection="1">
      <alignment horizontal="right" vertical="center"/>
    </xf>
    <xf numFmtId="0" fontId="12" fillId="20" borderId="3" xfId="0" applyFont="1" applyFill="1" applyBorder="1" applyAlignment="1" applyProtection="1">
      <alignment vertical="center" wrapText="1"/>
    </xf>
    <xf numFmtId="0" fontId="52" fillId="11" borderId="0" xfId="0" applyFont="1" applyFill="1" applyAlignment="1">
      <alignment horizontal="center"/>
    </xf>
    <xf numFmtId="165" fontId="52" fillId="9" borderId="3" xfId="0" applyNumberFormat="1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40" fillId="11" borderId="0" xfId="0" applyFont="1" applyFill="1" applyAlignment="1">
      <alignment horizontal="center"/>
    </xf>
    <xf numFmtId="1" fontId="52" fillId="9" borderId="3" xfId="0" applyNumberFormat="1" applyFont="1" applyFill="1" applyBorder="1" applyAlignment="1">
      <alignment horizontal="center" vertical="center"/>
    </xf>
    <xf numFmtId="0" fontId="0" fillId="12" borderId="4" xfId="0" applyFill="1" applyBorder="1"/>
    <xf numFmtId="0" fontId="52" fillId="12" borderId="3" xfId="0" applyFont="1" applyFill="1" applyBorder="1" applyAlignment="1">
      <alignment horizontal="center" vertical="center"/>
    </xf>
    <xf numFmtId="0" fontId="0" fillId="12" borderId="3" xfId="0" applyFill="1" applyBorder="1"/>
    <xf numFmtId="0" fontId="22" fillId="11" borderId="15" xfId="0" applyFont="1" applyFill="1" applyBorder="1" applyAlignment="1">
      <alignment horizontal="right"/>
    </xf>
    <xf numFmtId="9" fontId="0" fillId="12" borderId="3" xfId="4" applyFont="1" applyFill="1" applyBorder="1" applyAlignment="1">
      <alignment horizontal="center" vertical="center"/>
    </xf>
    <xf numFmtId="0" fontId="52" fillId="11" borderId="15" xfId="0" applyFont="1" applyFill="1" applyBorder="1" applyAlignment="1">
      <alignment horizontal="right"/>
    </xf>
    <xf numFmtId="9" fontId="40" fillId="9" borderId="6" xfId="4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vertical="center" wrapText="1"/>
    </xf>
    <xf numFmtId="0" fontId="0" fillId="9" borderId="26" xfId="0" applyFill="1" applyBorder="1" applyAlignment="1">
      <alignment horizontal="center" vertical="center"/>
    </xf>
    <xf numFmtId="0" fontId="0" fillId="9" borderId="82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52" fillId="11" borderId="0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vertical="center" wrapText="1"/>
    </xf>
    <xf numFmtId="0" fontId="22" fillId="11" borderId="0" xfId="0" applyFont="1" applyFill="1"/>
    <xf numFmtId="0" fontId="127" fillId="11" borderId="0" xfId="0" applyFont="1" applyFill="1" applyBorder="1" applyAlignment="1">
      <alignment vertical="center"/>
    </xf>
    <xf numFmtId="0" fontId="133" fillId="9" borderId="14" xfId="0" applyFont="1" applyFill="1" applyBorder="1" applyAlignment="1" applyProtection="1">
      <alignment horizontal="left" vertical="top"/>
    </xf>
    <xf numFmtId="0" fontId="133" fillId="9" borderId="15" xfId="0" applyFont="1" applyFill="1" applyBorder="1" applyAlignment="1" applyProtection="1">
      <alignment horizontal="left" vertical="top"/>
    </xf>
    <xf numFmtId="0" fontId="133" fillId="9" borderId="10" xfId="0" applyFont="1" applyFill="1" applyBorder="1" applyAlignment="1" applyProtection="1">
      <alignment horizontal="left" vertical="top"/>
    </xf>
    <xf numFmtId="0" fontId="65" fillId="12" borderId="1" xfId="0" applyFont="1" applyFill="1" applyBorder="1" applyAlignment="1" applyProtection="1">
      <alignment horizontal="right" vertical="center" wrapText="1"/>
    </xf>
    <xf numFmtId="0" fontId="65" fillId="12" borderId="0" xfId="0" applyFont="1" applyFill="1" applyBorder="1" applyAlignment="1" applyProtection="1">
      <alignment horizontal="right" vertical="center" wrapText="1"/>
    </xf>
    <xf numFmtId="0" fontId="42" fillId="28" borderId="69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" fillId="12" borderId="0" xfId="0" applyFont="1" applyFill="1" applyAlignment="1" applyProtection="1">
      <alignment horizontal="center" vertical="center" wrapText="1"/>
    </xf>
    <xf numFmtId="0" fontId="0" fillId="12" borderId="0" xfId="0" applyFill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12" borderId="3" xfId="0" applyFont="1" applyFill="1" applyBorder="1" applyAlignment="1" applyProtection="1">
      <alignment horizontal="left" vertical="center"/>
    </xf>
    <xf numFmtId="0" fontId="7" fillId="12" borderId="3" xfId="0" applyFont="1" applyFill="1" applyBorder="1" applyAlignment="1" applyProtection="1">
      <alignment horizontal="left" vertical="center"/>
    </xf>
    <xf numFmtId="0" fontId="3" fillId="24" borderId="0" xfId="0" applyFont="1" applyFill="1" applyBorder="1" applyAlignment="1" applyProtection="1">
      <alignment horizontal="left" vertical="center"/>
    </xf>
    <xf numFmtId="0" fontId="17" fillId="12" borderId="3" xfId="0" applyFont="1" applyFill="1" applyBorder="1" applyAlignment="1" applyProtection="1">
      <alignment horizontal="left" vertical="center" wrapText="1"/>
    </xf>
    <xf numFmtId="0" fontId="46" fillId="13" borderId="14" xfId="0" applyFont="1" applyFill="1" applyBorder="1" applyAlignment="1" applyProtection="1">
      <alignment horizontal="center" vertical="center"/>
    </xf>
    <xf numFmtId="0" fontId="46" fillId="13" borderId="15" xfId="0" applyFont="1" applyFill="1" applyBorder="1" applyAlignment="1" applyProtection="1">
      <alignment horizontal="center" vertical="center"/>
    </xf>
    <xf numFmtId="0" fontId="46" fillId="13" borderId="10" xfId="0" applyFont="1" applyFill="1" applyBorder="1" applyAlignment="1" applyProtection="1">
      <alignment horizontal="center" vertical="center"/>
    </xf>
    <xf numFmtId="0" fontId="41" fillId="13" borderId="3" xfId="0" applyFont="1" applyFill="1" applyBorder="1" applyAlignment="1" applyProtection="1">
      <alignment horizontal="center" vertical="center"/>
    </xf>
    <xf numFmtId="0" fontId="100" fillId="30" borderId="1" xfId="0" applyFont="1" applyFill="1" applyBorder="1" applyAlignment="1" applyProtection="1">
      <alignment horizontal="left" vertical="center" wrapText="1"/>
    </xf>
    <xf numFmtId="0" fontId="100" fillId="30" borderId="0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7" fillId="11" borderId="3" xfId="0" applyFont="1" applyFill="1" applyBorder="1" applyAlignment="1" applyProtection="1">
      <alignment horizontal="left" vertical="center"/>
    </xf>
    <xf numFmtId="0" fontId="100" fillId="30" borderId="28" xfId="0" applyFont="1" applyFill="1" applyBorder="1" applyAlignment="1" applyProtection="1">
      <alignment horizontal="left" vertical="center" wrapText="1"/>
    </xf>
    <xf numFmtId="0" fontId="100" fillId="30" borderId="16" xfId="0" applyFont="1" applyFill="1" applyBorder="1" applyAlignment="1" applyProtection="1">
      <alignment horizontal="left" vertical="center" wrapText="1"/>
    </xf>
    <xf numFmtId="0" fontId="100" fillId="30" borderId="17" xfId="0" applyFont="1" applyFill="1" applyBorder="1" applyAlignment="1" applyProtection="1">
      <alignment horizontal="left" vertical="center" wrapText="1"/>
    </xf>
    <xf numFmtId="0" fontId="100" fillId="30" borderId="27" xfId="0" applyFont="1" applyFill="1" applyBorder="1" applyAlignment="1" applyProtection="1">
      <alignment horizontal="left" vertical="center" wrapText="1"/>
    </xf>
    <xf numFmtId="0" fontId="100" fillId="30" borderId="25" xfId="0" applyFont="1" applyFill="1" applyBorder="1" applyAlignment="1" applyProtection="1">
      <alignment horizontal="left" vertical="center" wrapText="1"/>
    </xf>
    <xf numFmtId="0" fontId="100" fillId="30" borderId="5" xfId="0" applyFont="1" applyFill="1" applyBorder="1" applyAlignment="1" applyProtection="1">
      <alignment horizontal="left" vertical="center" wrapText="1"/>
    </xf>
    <xf numFmtId="0" fontId="100" fillId="30" borderId="26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vertical="center"/>
    </xf>
    <xf numFmtId="0" fontId="7" fillId="11" borderId="3" xfId="0" applyFont="1" applyFill="1" applyBorder="1" applyAlignment="1" applyProtection="1">
      <alignment vertical="center"/>
    </xf>
    <xf numFmtId="0" fontId="58" fillId="12" borderId="3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77" fillId="11" borderId="0" xfId="0" applyFont="1" applyFill="1" applyBorder="1" applyAlignment="1" applyProtection="1">
      <alignment horizontal="left" wrapText="1"/>
    </xf>
    <xf numFmtId="0" fontId="43" fillId="2" borderId="0" xfId="0" applyFont="1" applyFill="1" applyBorder="1" applyAlignment="1" applyProtection="1">
      <alignment horizontal="left" vertical="center" wrapText="1"/>
    </xf>
    <xf numFmtId="0" fontId="43" fillId="2" borderId="27" xfId="0" applyFont="1" applyFill="1" applyBorder="1" applyAlignment="1" applyProtection="1">
      <alignment horizontal="left" vertical="center" wrapText="1"/>
    </xf>
    <xf numFmtId="0" fontId="12" fillId="2" borderId="0" xfId="0" quotePrefix="1" applyFont="1" applyFill="1" applyBorder="1" applyAlignment="1" applyProtection="1">
      <alignment horizontal="left" vertical="center" wrapText="1"/>
    </xf>
    <xf numFmtId="0" fontId="1" fillId="12" borderId="0" xfId="0" applyFont="1" applyFill="1" applyBorder="1" applyAlignment="1" applyProtection="1">
      <alignment horizontal="left" vertical="center" wrapText="1"/>
    </xf>
    <xf numFmtId="0" fontId="1" fillId="12" borderId="27" xfId="0" applyFont="1" applyFill="1" applyBorder="1" applyAlignment="1" applyProtection="1">
      <alignment horizontal="left" vertical="center" wrapText="1"/>
    </xf>
    <xf numFmtId="0" fontId="77" fillId="11" borderId="0" xfId="0" applyFont="1" applyFill="1" applyBorder="1" applyAlignment="1" applyProtection="1">
      <alignment horizontal="left" vertical="center" wrapText="1"/>
    </xf>
    <xf numFmtId="0" fontId="77" fillId="11" borderId="1" xfId="0" applyFont="1" applyFill="1" applyBorder="1" applyAlignment="1" applyProtection="1">
      <alignment horizontal="center" vertical="center" wrapText="1"/>
    </xf>
    <xf numFmtId="0" fontId="77" fillId="11" borderId="0" xfId="0" applyFont="1" applyFill="1" applyBorder="1" applyAlignment="1" applyProtection="1">
      <alignment horizontal="center" vertical="center" wrapText="1"/>
    </xf>
    <xf numFmtId="0" fontId="101" fillId="30" borderId="10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/>
    </xf>
    <xf numFmtId="0" fontId="7" fillId="11" borderId="3" xfId="0" applyFont="1" applyFill="1" applyBorder="1" applyAlignment="1" applyProtection="1">
      <alignment horizontal="left"/>
    </xf>
    <xf numFmtId="0" fontId="40" fillId="13" borderId="1" xfId="0" applyFont="1" applyFill="1" applyBorder="1" applyAlignment="1" applyProtection="1">
      <alignment horizontal="left" vertical="center" wrapText="1"/>
    </xf>
    <xf numFmtId="0" fontId="40" fillId="13" borderId="0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/>
    </xf>
    <xf numFmtId="0" fontId="1" fillId="11" borderId="3" xfId="0" applyFont="1" applyFill="1" applyBorder="1" applyAlignment="1" applyProtection="1">
      <alignment horizontal="left" vertical="center"/>
    </xf>
    <xf numFmtId="0" fontId="57" fillId="11" borderId="3" xfId="0" applyFont="1" applyFill="1" applyBorder="1" applyAlignment="1" applyProtection="1">
      <alignment horizontal="left" vertical="center"/>
    </xf>
    <xf numFmtId="0" fontId="75" fillId="4" borderId="14" xfId="0" applyFont="1" applyFill="1" applyBorder="1" applyAlignment="1" applyProtection="1">
      <alignment horizontal="left" vertical="top"/>
      <protection locked="0"/>
    </xf>
    <xf numFmtId="0" fontId="75" fillId="4" borderId="15" xfId="0" applyFont="1" applyFill="1" applyBorder="1" applyAlignment="1" applyProtection="1">
      <alignment horizontal="left" vertical="top"/>
      <protection locked="0"/>
    </xf>
    <xf numFmtId="0" fontId="75" fillId="4" borderId="10" xfId="0" applyFont="1" applyFill="1" applyBorder="1" applyAlignment="1" applyProtection="1">
      <alignment horizontal="left" vertical="top"/>
      <protection locked="0"/>
    </xf>
    <xf numFmtId="0" fontId="7" fillId="12" borderId="4" xfId="0" applyFont="1" applyFill="1" applyBorder="1" applyAlignment="1" applyProtection="1">
      <alignment horizontal="left" vertical="center"/>
    </xf>
    <xf numFmtId="0" fontId="77" fillId="11" borderId="15" xfId="0" applyFont="1" applyFill="1" applyBorder="1" applyAlignment="1" applyProtection="1">
      <alignment horizontal="right" vertical="center"/>
    </xf>
    <xf numFmtId="0" fontId="71" fillId="11" borderId="14" xfId="0" applyFont="1" applyFill="1" applyBorder="1" applyAlignment="1" applyProtection="1">
      <alignment horizontal="left" vertical="center"/>
    </xf>
    <xf numFmtId="0" fontId="71" fillId="11" borderId="15" xfId="0" applyFont="1" applyFill="1" applyBorder="1" applyAlignment="1" applyProtection="1">
      <alignment horizontal="left" vertical="center"/>
    </xf>
    <xf numFmtId="0" fontId="71" fillId="11" borderId="10" xfId="0" applyFont="1" applyFill="1" applyBorder="1" applyAlignment="1" applyProtection="1">
      <alignment horizontal="left" vertical="center"/>
    </xf>
    <xf numFmtId="0" fontId="58" fillId="11" borderId="2" xfId="0" applyFont="1" applyFill="1" applyBorder="1" applyAlignment="1" applyProtection="1">
      <alignment horizontal="left" vertical="center"/>
    </xf>
    <xf numFmtId="0" fontId="7" fillId="11" borderId="2" xfId="0" applyFont="1" applyFill="1" applyBorder="1" applyAlignment="1" applyProtection="1">
      <alignment horizontal="left" vertical="center"/>
    </xf>
    <xf numFmtId="0" fontId="58" fillId="11" borderId="3" xfId="0" applyFont="1" applyFill="1" applyBorder="1" applyAlignment="1" applyProtection="1">
      <alignment horizontal="left" vertical="center"/>
    </xf>
    <xf numFmtId="0" fontId="58" fillId="12" borderId="3" xfId="0" applyFont="1" applyFill="1" applyBorder="1" applyAlignment="1" applyProtection="1">
      <alignment vertical="center"/>
    </xf>
    <xf numFmtId="0" fontId="7" fillId="12" borderId="3" xfId="0" applyFont="1" applyFill="1" applyBorder="1" applyAlignment="1" applyProtection="1">
      <alignment vertical="center"/>
    </xf>
    <xf numFmtId="0" fontId="1" fillId="11" borderId="14" xfId="0" applyFont="1" applyFill="1" applyBorder="1" applyAlignment="1" applyProtection="1">
      <alignment horizontal="left" vertical="center" wrapText="1"/>
    </xf>
    <xf numFmtId="0" fontId="1" fillId="11" borderId="15" xfId="0" applyFont="1" applyFill="1" applyBorder="1" applyAlignment="1" applyProtection="1">
      <alignment horizontal="left" vertical="center" wrapText="1"/>
    </xf>
    <xf numFmtId="0" fontId="1" fillId="11" borderId="10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1" fillId="11" borderId="14" xfId="0" applyFont="1" applyFill="1" applyBorder="1" applyAlignment="1" applyProtection="1">
      <alignment vertical="center" wrapText="1"/>
    </xf>
    <xf numFmtId="0" fontId="1" fillId="11" borderId="15" xfId="0" applyFont="1" applyFill="1" applyBorder="1" applyAlignment="1" applyProtection="1">
      <alignment vertical="center" wrapText="1"/>
    </xf>
    <xf numFmtId="0" fontId="1" fillId="11" borderId="10" xfId="0" applyFont="1" applyFill="1" applyBorder="1" applyAlignment="1" applyProtection="1">
      <alignment vertical="center" wrapText="1"/>
    </xf>
    <xf numFmtId="0" fontId="77" fillId="11" borderId="5" xfId="0" applyFont="1" applyFill="1" applyBorder="1" applyAlignment="1" applyProtection="1">
      <alignment horizontal="right" vertical="center"/>
    </xf>
    <xf numFmtId="0" fontId="58" fillId="12" borderId="4" xfId="0" applyFont="1" applyFill="1" applyBorder="1" applyAlignment="1" applyProtection="1">
      <alignment horizontal="left" vertical="center"/>
    </xf>
    <xf numFmtId="0" fontId="58" fillId="12" borderId="2" xfId="0" applyFont="1" applyFill="1" applyBorder="1" applyAlignment="1" applyProtection="1">
      <alignment horizontal="left" vertical="center"/>
    </xf>
    <xf numFmtId="0" fontId="7" fillId="12" borderId="2" xfId="0" applyFont="1" applyFill="1" applyBorder="1" applyAlignment="1" applyProtection="1">
      <alignment horizontal="left" vertical="center"/>
    </xf>
    <xf numFmtId="0" fontId="7" fillId="12" borderId="14" xfId="0" applyFont="1" applyFill="1" applyBorder="1" applyAlignment="1" applyProtection="1">
      <alignment vertical="center"/>
    </xf>
    <xf numFmtId="0" fontId="7" fillId="12" borderId="15" xfId="0" applyFont="1" applyFill="1" applyBorder="1" applyAlignment="1" applyProtection="1">
      <alignment vertical="center"/>
    </xf>
    <xf numFmtId="0" fontId="7" fillId="12" borderId="10" xfId="0" applyFont="1" applyFill="1" applyBorder="1" applyAlignment="1" applyProtection="1">
      <alignment vertical="center"/>
    </xf>
    <xf numFmtId="0" fontId="58" fillId="12" borderId="14" xfId="0" applyFont="1" applyFill="1" applyBorder="1" applyAlignment="1" applyProtection="1">
      <alignment vertical="center"/>
    </xf>
    <xf numFmtId="0" fontId="75" fillId="9" borderId="14" xfId="0" applyFont="1" applyFill="1" applyBorder="1" applyAlignment="1" applyProtection="1">
      <alignment horizontal="left" vertical="top"/>
    </xf>
    <xf numFmtId="0" fontId="75" fillId="9" borderId="15" xfId="0" applyFont="1" applyFill="1" applyBorder="1" applyAlignment="1" applyProtection="1">
      <alignment horizontal="left" vertical="top"/>
    </xf>
    <xf numFmtId="0" fontId="75" fillId="9" borderId="10" xfId="0" applyFont="1" applyFill="1" applyBorder="1" applyAlignment="1" applyProtection="1">
      <alignment horizontal="left" vertical="top"/>
    </xf>
    <xf numFmtId="0" fontId="82" fillId="13" borderId="2" xfId="0" applyFont="1" applyFill="1" applyBorder="1" applyAlignment="1" applyProtection="1">
      <alignment horizontal="center" vertical="center"/>
    </xf>
    <xf numFmtId="0" fontId="82" fillId="13" borderId="73" xfId="0" applyFont="1" applyFill="1" applyBorder="1" applyAlignment="1" applyProtection="1">
      <alignment horizontal="center" vertical="center"/>
    </xf>
    <xf numFmtId="0" fontId="82" fillId="13" borderId="4" xfId="0" applyFont="1" applyFill="1" applyBorder="1" applyAlignment="1" applyProtection="1">
      <alignment horizontal="center" vertical="center"/>
    </xf>
    <xf numFmtId="0" fontId="109" fillId="30" borderId="1" xfId="0" applyFont="1" applyFill="1" applyBorder="1" applyAlignment="1" applyProtection="1">
      <alignment horizontal="center" vertical="center" wrapText="1"/>
    </xf>
    <xf numFmtId="0" fontId="109" fillId="30" borderId="0" xfId="0" applyFont="1" applyFill="1" applyBorder="1" applyAlignment="1" applyProtection="1">
      <alignment horizontal="center" vertical="center" wrapText="1"/>
    </xf>
    <xf numFmtId="0" fontId="17" fillId="12" borderId="3" xfId="0" applyFont="1" applyFill="1" applyBorder="1" applyAlignment="1" applyProtection="1">
      <alignment horizontal="center" vertical="center" wrapText="1"/>
    </xf>
    <xf numFmtId="0" fontId="17" fillId="9" borderId="14" xfId="0" applyFont="1" applyFill="1" applyBorder="1" applyAlignment="1" applyProtection="1">
      <alignment horizontal="center" vertical="center" wrapText="1"/>
      <protection locked="0"/>
    </xf>
    <xf numFmtId="0" fontId="17" fillId="9" borderId="15" xfId="0" applyFont="1" applyFill="1" applyBorder="1" applyAlignment="1" applyProtection="1">
      <alignment horizontal="center" vertical="center" wrapText="1"/>
      <protection locked="0"/>
    </xf>
    <xf numFmtId="0" fontId="17" fillId="9" borderId="10" xfId="0" applyFont="1" applyFill="1" applyBorder="1" applyAlignment="1" applyProtection="1">
      <alignment horizontal="center" vertical="center" wrapText="1"/>
      <protection locked="0"/>
    </xf>
    <xf numFmtId="0" fontId="93" fillId="11" borderId="0" xfId="0" applyFont="1" applyFill="1" applyBorder="1" applyAlignment="1" applyProtection="1">
      <alignment horizontal="center" vertical="center"/>
    </xf>
    <xf numFmtId="0" fontId="112" fillId="19" borderId="38" xfId="0" applyFont="1" applyFill="1" applyBorder="1" applyAlignment="1" applyProtection="1">
      <alignment horizontal="left" vertical="center" wrapText="1"/>
    </xf>
    <xf numFmtId="0" fontId="112" fillId="19" borderId="15" xfId="0" applyFont="1" applyFill="1" applyBorder="1" applyAlignment="1" applyProtection="1">
      <alignment horizontal="left" vertical="center" wrapText="1"/>
    </xf>
    <xf numFmtId="0" fontId="112" fillId="19" borderId="46" xfId="0" applyFont="1" applyFill="1" applyBorder="1" applyAlignment="1" applyProtection="1">
      <alignment horizontal="left" vertical="center" wrapText="1"/>
    </xf>
    <xf numFmtId="0" fontId="52" fillId="20" borderId="38" xfId="0" applyFont="1" applyFill="1" applyBorder="1" applyAlignment="1" applyProtection="1">
      <alignment horizontal="left" vertical="center" wrapText="1"/>
    </xf>
    <xf numFmtId="0" fontId="52" fillId="20" borderId="15" xfId="0" applyFont="1" applyFill="1" applyBorder="1" applyAlignment="1" applyProtection="1">
      <alignment horizontal="left" vertical="center" wrapText="1"/>
    </xf>
    <xf numFmtId="0" fontId="52" fillId="20" borderId="10" xfId="0" applyFont="1" applyFill="1" applyBorder="1" applyAlignment="1" applyProtection="1">
      <alignment horizontal="left" vertical="center" wrapText="1"/>
    </xf>
    <xf numFmtId="0" fontId="52" fillId="20" borderId="81" xfId="0" applyFont="1" applyFill="1" applyBorder="1" applyAlignment="1" applyProtection="1">
      <alignment horizontal="left" vertical="center" wrapText="1"/>
    </xf>
    <xf numFmtId="0" fontId="52" fillId="20" borderId="76" xfId="0" applyFont="1" applyFill="1" applyBorder="1" applyAlignment="1" applyProtection="1">
      <alignment horizontal="left" vertical="center" wrapText="1"/>
    </xf>
    <xf numFmtId="0" fontId="52" fillId="20" borderId="77" xfId="0" applyFont="1" applyFill="1" applyBorder="1" applyAlignment="1" applyProtection="1">
      <alignment horizontal="left" vertical="center" wrapText="1"/>
    </xf>
    <xf numFmtId="0" fontId="23" fillId="24" borderId="18" xfId="0" applyFont="1" applyFill="1" applyBorder="1" applyAlignment="1" applyProtection="1">
      <alignment horizontal="center" vertical="center" wrapText="1"/>
    </xf>
    <xf numFmtId="0" fontId="23" fillId="24" borderId="19" xfId="0" applyFont="1" applyFill="1" applyBorder="1" applyAlignment="1" applyProtection="1">
      <alignment horizontal="center" vertical="center" wrapText="1"/>
    </xf>
    <xf numFmtId="0" fontId="23" fillId="24" borderId="20" xfId="0" applyFont="1" applyFill="1" applyBorder="1" applyAlignment="1" applyProtection="1">
      <alignment horizontal="center" vertical="center" wrapText="1"/>
    </xf>
    <xf numFmtId="0" fontId="115" fillId="20" borderId="28" xfId="0" applyFont="1" applyFill="1" applyBorder="1" applyAlignment="1" applyProtection="1">
      <alignment horizontal="center" vertical="center" wrapText="1"/>
    </xf>
    <xf numFmtId="0" fontId="115" fillId="20" borderId="16" xfId="0" applyFont="1" applyFill="1" applyBorder="1" applyAlignment="1" applyProtection="1">
      <alignment horizontal="center" vertical="center" wrapText="1"/>
    </xf>
    <xf numFmtId="0" fontId="115" fillId="20" borderId="25" xfId="0" applyFont="1" applyFill="1" applyBorder="1" applyAlignment="1" applyProtection="1">
      <alignment horizontal="center" vertical="center" wrapText="1"/>
    </xf>
    <xf numFmtId="0" fontId="115" fillId="20" borderId="5" xfId="0" applyFont="1" applyFill="1" applyBorder="1" applyAlignment="1" applyProtection="1">
      <alignment horizontal="center" vertical="center" wrapText="1"/>
    </xf>
    <xf numFmtId="0" fontId="96" fillId="19" borderId="16" xfId="0" applyFont="1" applyFill="1" applyBorder="1" applyAlignment="1" applyProtection="1">
      <alignment horizontal="center" vertical="center"/>
    </xf>
    <xf numFmtId="0" fontId="96" fillId="19" borderId="17" xfId="0" applyFont="1" applyFill="1" applyBorder="1" applyAlignment="1" applyProtection="1">
      <alignment horizontal="center" vertical="center"/>
    </xf>
    <xf numFmtId="0" fontId="96" fillId="19" borderId="5" xfId="0" applyFont="1" applyFill="1" applyBorder="1" applyAlignment="1" applyProtection="1">
      <alignment horizontal="center" vertical="center"/>
    </xf>
    <xf numFmtId="0" fontId="96" fillId="19" borderId="26" xfId="0" applyFont="1" applyFill="1" applyBorder="1" applyAlignment="1" applyProtection="1">
      <alignment horizontal="center" vertical="center"/>
    </xf>
    <xf numFmtId="0" fontId="88" fillId="20" borderId="81" xfId="0" applyFont="1" applyFill="1" applyBorder="1" applyAlignment="1" applyProtection="1">
      <alignment horizontal="left" vertical="center" wrapText="1"/>
    </xf>
    <xf numFmtId="0" fontId="88" fillId="20" borderId="76" xfId="0" applyFont="1" applyFill="1" applyBorder="1" applyAlignment="1" applyProtection="1">
      <alignment horizontal="left" vertical="center" wrapText="1"/>
    </xf>
    <xf numFmtId="0" fontId="122" fillId="31" borderId="13" xfId="0" applyFont="1" applyFill="1" applyBorder="1" applyAlignment="1" applyProtection="1">
      <alignment horizontal="center" vertical="top" wrapText="1"/>
    </xf>
    <xf numFmtId="0" fontId="122" fillId="31" borderId="31" xfId="0" applyFont="1" applyFill="1" applyBorder="1" applyAlignment="1" applyProtection="1">
      <alignment horizontal="center" vertical="top" wrapText="1"/>
    </xf>
    <xf numFmtId="0" fontId="122" fillId="31" borderId="32" xfId="0" applyFont="1" applyFill="1" applyBorder="1" applyAlignment="1" applyProtection="1">
      <alignment horizontal="center" vertical="top" wrapText="1"/>
    </xf>
    <xf numFmtId="0" fontId="52" fillId="20" borderId="23" xfId="0" applyFont="1" applyFill="1" applyBorder="1" applyAlignment="1" applyProtection="1">
      <alignment horizontal="left" vertical="center" wrapText="1"/>
    </xf>
    <xf numFmtId="0" fontId="52" fillId="20" borderId="3" xfId="0" applyFont="1" applyFill="1" applyBorder="1" applyAlignment="1" applyProtection="1">
      <alignment horizontal="left" vertical="center" wrapText="1"/>
    </xf>
    <xf numFmtId="0" fontId="52" fillId="20" borderId="23" xfId="0" applyFont="1" applyFill="1" applyBorder="1" applyAlignment="1" applyProtection="1">
      <alignment horizontal="left" vertical="center"/>
    </xf>
    <xf numFmtId="0" fontId="52" fillId="20" borderId="3" xfId="0" applyFont="1" applyFill="1" applyBorder="1" applyAlignment="1" applyProtection="1">
      <alignment horizontal="left" vertical="center"/>
    </xf>
    <xf numFmtId="0" fontId="88" fillId="20" borderId="14" xfId="0" applyFont="1" applyFill="1" applyBorder="1" applyAlignment="1" applyProtection="1">
      <alignment horizontal="center" vertical="center" wrapText="1"/>
    </xf>
    <xf numFmtId="0" fontId="88" fillId="20" borderId="15" xfId="0" applyFont="1" applyFill="1" applyBorder="1" applyAlignment="1" applyProtection="1">
      <alignment horizontal="center" vertical="center" wrapText="1"/>
    </xf>
    <xf numFmtId="0" fontId="88" fillId="20" borderId="10" xfId="0" applyFont="1" applyFill="1" applyBorder="1" applyAlignment="1" applyProtection="1">
      <alignment horizontal="center" vertical="center" wrapText="1"/>
    </xf>
    <xf numFmtId="0" fontId="88" fillId="20" borderId="38" xfId="0" applyFont="1" applyFill="1" applyBorder="1" applyAlignment="1" applyProtection="1">
      <alignment horizontal="left" vertical="center" wrapText="1"/>
    </xf>
    <xf numFmtId="0" fontId="88" fillId="20" borderId="15" xfId="0" applyFont="1" applyFill="1" applyBorder="1" applyAlignment="1" applyProtection="1">
      <alignment horizontal="left" vertical="center" wrapText="1"/>
    </xf>
    <xf numFmtId="0" fontId="42" fillId="30" borderId="0" xfId="0" applyFont="1" applyFill="1" applyBorder="1" applyAlignment="1" applyProtection="1">
      <alignment horizontal="center" vertical="center" wrapText="1"/>
    </xf>
    <xf numFmtId="0" fontId="0" fillId="10" borderId="52" xfId="0" applyFill="1" applyBorder="1" applyAlignment="1" applyProtection="1">
      <alignment horizontal="left" vertical="center"/>
    </xf>
    <xf numFmtId="0" fontId="0" fillId="10" borderId="53" xfId="0" applyFill="1" applyBorder="1" applyAlignment="1" applyProtection="1">
      <alignment horizontal="left" vertical="center"/>
    </xf>
    <xf numFmtId="0" fontId="0" fillId="10" borderId="54" xfId="0" applyFill="1" applyBorder="1" applyAlignment="1" applyProtection="1">
      <alignment horizontal="left" vertical="center"/>
    </xf>
    <xf numFmtId="0" fontId="110" fillId="11" borderId="0" xfId="0" applyFont="1" applyFill="1" applyBorder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left" vertical="center"/>
    </xf>
    <xf numFmtId="0" fontId="0" fillId="3" borderId="52" xfId="0" applyFill="1" applyBorder="1" applyAlignment="1" applyProtection="1">
      <alignment horizontal="left" vertical="center"/>
    </xf>
    <xf numFmtId="0" fontId="0" fillId="3" borderId="53" xfId="0" applyFill="1" applyBorder="1" applyAlignment="1" applyProtection="1">
      <alignment horizontal="left" vertical="center"/>
    </xf>
    <xf numFmtId="0" fontId="0" fillId="3" borderId="54" xfId="0" applyFill="1" applyBorder="1" applyAlignment="1" applyProtection="1">
      <alignment horizontal="left" vertical="center"/>
    </xf>
    <xf numFmtId="0" fontId="4" fillId="18" borderId="2" xfId="0" applyFont="1" applyFill="1" applyBorder="1" applyAlignment="1" applyProtection="1">
      <alignment horizontal="center" vertical="center" wrapText="1"/>
    </xf>
    <xf numFmtId="0" fontId="10" fillId="18" borderId="4" xfId="0" applyFont="1" applyFill="1" applyBorder="1" applyAlignment="1" applyProtection="1">
      <alignment horizontal="center" vertical="center" wrapText="1"/>
    </xf>
    <xf numFmtId="0" fontId="52" fillId="20" borderId="0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left" vertical="center" wrapText="1"/>
    </xf>
    <xf numFmtId="0" fontId="52" fillId="2" borderId="27" xfId="0" applyFont="1" applyFill="1" applyBorder="1" applyAlignment="1" applyProtection="1">
      <alignment horizontal="left" vertical="center" wrapText="1"/>
    </xf>
    <xf numFmtId="0" fontId="89" fillId="29" borderId="13" xfId="0" applyFont="1" applyFill="1" applyBorder="1" applyAlignment="1" applyProtection="1">
      <alignment horizontal="center" vertical="center" wrapText="1"/>
    </xf>
    <xf numFmtId="0" fontId="89" fillId="29" borderId="31" xfId="0" applyFont="1" applyFill="1" applyBorder="1" applyAlignment="1" applyProtection="1">
      <alignment horizontal="center" vertical="center" wrapText="1"/>
    </xf>
    <xf numFmtId="0" fontId="89" fillId="29" borderId="32" xfId="0" applyFont="1" applyFill="1" applyBorder="1" applyAlignment="1" applyProtection="1">
      <alignment horizontal="center" vertical="center" wrapText="1"/>
    </xf>
    <xf numFmtId="0" fontId="52" fillId="20" borderId="27" xfId="0" applyFont="1" applyFill="1" applyBorder="1" applyAlignment="1" applyProtection="1">
      <alignment horizontal="left" vertical="center" wrapText="1"/>
    </xf>
    <xf numFmtId="0" fontId="58" fillId="9" borderId="28" xfId="0" applyFont="1" applyFill="1" applyBorder="1" applyAlignment="1" applyProtection="1">
      <alignment horizontal="left" vertical="top" wrapText="1"/>
      <protection locked="0"/>
    </xf>
    <xf numFmtId="0" fontId="58" fillId="9" borderId="16" xfId="0" applyFont="1" applyFill="1" applyBorder="1" applyAlignment="1" applyProtection="1">
      <alignment horizontal="left" vertical="top" wrapText="1"/>
      <protection locked="0"/>
    </xf>
    <xf numFmtId="0" fontId="58" fillId="9" borderId="17" xfId="0" applyFont="1" applyFill="1" applyBorder="1" applyAlignment="1" applyProtection="1">
      <alignment horizontal="left" vertical="top" wrapText="1"/>
      <protection locked="0"/>
    </xf>
    <xf numFmtId="0" fontId="58" fillId="9" borderId="25" xfId="0" applyFont="1" applyFill="1" applyBorder="1" applyAlignment="1" applyProtection="1">
      <alignment horizontal="left" vertical="top" wrapText="1"/>
      <protection locked="0"/>
    </xf>
    <xf numFmtId="0" fontId="58" fillId="9" borderId="5" xfId="0" applyFont="1" applyFill="1" applyBorder="1" applyAlignment="1" applyProtection="1">
      <alignment horizontal="left" vertical="top" wrapText="1"/>
      <protection locked="0"/>
    </xf>
    <xf numFmtId="0" fontId="58" fillId="9" borderId="26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wrapText="1"/>
    </xf>
    <xf numFmtId="0" fontId="52" fillId="20" borderId="0" xfId="0" applyFont="1" applyFill="1" applyBorder="1" applyAlignment="1" applyProtection="1">
      <alignment horizontal="right" vertical="center" wrapText="1"/>
    </xf>
    <xf numFmtId="0" fontId="17" fillId="2" borderId="67" xfId="0" applyFont="1" applyFill="1" applyBorder="1" applyAlignment="1" applyProtection="1">
      <alignment horizontal="left" vertical="center" wrapText="1"/>
    </xf>
    <xf numFmtId="0" fontId="109" fillId="30" borderId="1" xfId="0" applyFont="1" applyFill="1" applyBorder="1" applyAlignment="1" applyProtection="1">
      <alignment horizontal="left" vertical="center" wrapText="1"/>
    </xf>
    <xf numFmtId="0" fontId="109" fillId="30" borderId="0" xfId="0" applyFont="1" applyFill="1" applyBorder="1" applyAlignment="1" applyProtection="1">
      <alignment horizontal="left" vertical="center" wrapText="1"/>
    </xf>
    <xf numFmtId="0" fontId="62" fillId="22" borderId="2" xfId="0" applyFont="1" applyFill="1" applyBorder="1" applyAlignment="1" applyProtection="1">
      <alignment horizontal="center" vertical="center"/>
    </xf>
    <xf numFmtId="0" fontId="62" fillId="22" borderId="4" xfId="0" applyFont="1" applyFill="1" applyBorder="1" applyAlignment="1" applyProtection="1">
      <alignment horizontal="center" vertical="center"/>
    </xf>
    <xf numFmtId="0" fontId="83" fillId="2" borderId="0" xfId="0" applyFont="1" applyFill="1" applyBorder="1" applyAlignment="1" applyProtection="1">
      <alignment horizontal="center" vertical="center" wrapText="1"/>
    </xf>
    <xf numFmtId="0" fontId="92" fillId="9" borderId="1" xfId="0" applyFont="1" applyFill="1" applyBorder="1" applyAlignment="1">
      <alignment horizontal="left" vertical="center" wrapText="1"/>
    </xf>
    <xf numFmtId="0" fontId="92" fillId="9" borderId="0" xfId="0" applyFont="1" applyFill="1" applyBorder="1" applyAlignment="1">
      <alignment horizontal="left" vertical="center" wrapText="1"/>
    </xf>
    <xf numFmtId="0" fontId="134" fillId="12" borderId="14" xfId="0" applyFont="1" applyFill="1" applyBorder="1" applyAlignment="1">
      <alignment horizontal="center" vertical="center"/>
    </xf>
    <xf numFmtId="0" fontId="134" fillId="12" borderId="15" xfId="0" applyFont="1" applyFill="1" applyBorder="1" applyAlignment="1">
      <alignment horizontal="center" vertical="center"/>
    </xf>
    <xf numFmtId="0" fontId="134" fillId="12" borderId="10" xfId="0" applyFont="1" applyFill="1" applyBorder="1" applyAlignment="1">
      <alignment horizontal="center" vertical="center"/>
    </xf>
    <xf numFmtId="0" fontId="52" fillId="11" borderId="3" xfId="0" applyFont="1" applyFill="1" applyBorder="1" applyAlignment="1">
      <alignment horizontal="left" vertical="center"/>
    </xf>
    <xf numFmtId="0" fontId="17" fillId="20" borderId="23" xfId="0" applyFont="1" applyFill="1" applyBorder="1" applyAlignment="1">
      <alignment horizontal="left" vertical="center" wrapText="1"/>
    </xf>
    <xf numFmtId="0" fontId="17" fillId="20" borderId="3" xfId="0" applyFont="1" applyFill="1" applyBorder="1" applyAlignment="1">
      <alignment horizontal="left" vertical="center" wrapText="1"/>
    </xf>
    <xf numFmtId="0" fontId="17" fillId="24" borderId="38" xfId="0" applyFont="1" applyFill="1" applyBorder="1" applyAlignment="1">
      <alignment horizontal="left" vertical="center" wrapText="1"/>
    </xf>
    <xf numFmtId="0" fontId="17" fillId="24" borderId="15" xfId="0" applyFont="1" applyFill="1" applyBorder="1" applyAlignment="1">
      <alignment horizontal="left" vertical="center" wrapText="1"/>
    </xf>
    <xf numFmtId="0" fontId="17" fillId="24" borderId="46" xfId="0" applyFont="1" applyFill="1" applyBorder="1" applyAlignment="1">
      <alignment horizontal="left" vertical="center" wrapText="1"/>
    </xf>
    <xf numFmtId="0" fontId="109" fillId="30" borderId="0" xfId="0" applyFont="1" applyFill="1" applyBorder="1" applyAlignment="1">
      <alignment horizontal="left" vertical="center" wrapText="1"/>
    </xf>
    <xf numFmtId="0" fontId="96" fillId="19" borderId="16" xfId="0" applyFont="1" applyFill="1" applyBorder="1" applyAlignment="1">
      <alignment horizontal="center" vertical="center"/>
    </xf>
    <xf numFmtId="0" fontId="96" fillId="19" borderId="17" xfId="0" applyFont="1" applyFill="1" applyBorder="1" applyAlignment="1">
      <alignment horizontal="center" vertical="center"/>
    </xf>
    <xf numFmtId="0" fontId="96" fillId="19" borderId="5" xfId="0" applyFont="1" applyFill="1" applyBorder="1" applyAlignment="1">
      <alignment horizontal="center" vertical="center"/>
    </xf>
    <xf numFmtId="0" fontId="96" fillId="19" borderId="26" xfId="0" applyFont="1" applyFill="1" applyBorder="1" applyAlignment="1">
      <alignment horizontal="center" vertical="center"/>
    </xf>
    <xf numFmtId="0" fontId="83" fillId="20" borderId="28" xfId="0" applyFont="1" applyFill="1" applyBorder="1" applyAlignment="1">
      <alignment horizontal="center" vertical="center" wrapText="1"/>
    </xf>
    <xf numFmtId="0" fontId="83" fillId="20" borderId="25" xfId="0" applyFont="1" applyFill="1" applyBorder="1" applyAlignment="1">
      <alignment horizontal="center" vertical="center" wrapText="1"/>
    </xf>
    <xf numFmtId="0" fontId="17" fillId="20" borderId="38" xfId="0" applyFont="1" applyFill="1" applyBorder="1" applyAlignment="1">
      <alignment horizontal="left" vertical="center" wrapText="1"/>
    </xf>
    <xf numFmtId="0" fontId="17" fillId="20" borderId="15" xfId="0" applyFont="1" applyFill="1" applyBorder="1" applyAlignment="1">
      <alignment horizontal="left" vertical="center" wrapText="1"/>
    </xf>
    <xf numFmtId="0" fontId="17" fillId="20" borderId="10" xfId="0" applyFont="1" applyFill="1" applyBorder="1" applyAlignment="1">
      <alignment horizontal="left" vertical="center" wrapText="1"/>
    </xf>
    <xf numFmtId="0" fontId="17" fillId="20" borderId="23" xfId="0" applyFont="1" applyFill="1" applyBorder="1" applyAlignment="1">
      <alignment horizontal="left" vertical="center"/>
    </xf>
    <xf numFmtId="0" fontId="17" fillId="20" borderId="3" xfId="0" applyFont="1" applyFill="1" applyBorder="1" applyAlignment="1">
      <alignment horizontal="left" vertical="center"/>
    </xf>
    <xf numFmtId="0" fontId="28" fillId="13" borderId="63" xfId="0" applyFont="1" applyFill="1" applyBorder="1" applyAlignment="1" applyProtection="1">
      <alignment horizontal="center" vertical="center"/>
    </xf>
    <xf numFmtId="0" fontId="119" fillId="11" borderId="0" xfId="0" applyFont="1" applyFill="1" applyBorder="1" applyAlignment="1">
      <alignment horizontal="center" vertical="center"/>
    </xf>
    <xf numFmtId="0" fontId="89" fillId="29" borderId="42" xfId="0" applyFont="1" applyFill="1" applyBorder="1" applyAlignment="1">
      <alignment horizontal="center" vertical="center" wrapText="1"/>
    </xf>
    <xf numFmtId="0" fontId="89" fillId="29" borderId="43" xfId="0" applyFont="1" applyFill="1" applyBorder="1" applyAlignment="1">
      <alignment horizontal="center" vertical="center" wrapText="1"/>
    </xf>
    <xf numFmtId="0" fontId="89" fillId="29" borderId="50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left" vertical="center"/>
    </xf>
    <xf numFmtId="0" fontId="17" fillId="24" borderId="15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left" vertical="center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24" xfId="0" applyFont="1" applyFill="1" applyBorder="1" applyAlignment="1" applyProtection="1">
      <alignment horizontal="center" vertical="center" wrapText="1"/>
      <protection locked="0"/>
    </xf>
    <xf numFmtId="0" fontId="64" fillId="14" borderId="13" xfId="0" applyFont="1" applyFill="1" applyBorder="1" applyAlignment="1">
      <alignment horizontal="right" vertical="center" wrapText="1"/>
    </xf>
    <xf numFmtId="0" fontId="64" fillId="14" borderId="31" xfId="0" applyFont="1" applyFill="1" applyBorder="1" applyAlignment="1">
      <alignment horizontal="right" vertical="center" wrapText="1"/>
    </xf>
    <xf numFmtId="0" fontId="52" fillId="11" borderId="0" xfId="0" applyFont="1" applyFill="1" applyBorder="1" applyAlignment="1">
      <alignment horizontal="left" vertical="center" wrapText="1"/>
    </xf>
    <xf numFmtId="0" fontId="49" fillId="3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left" vertical="center" wrapText="1"/>
    </xf>
    <xf numFmtId="0" fontId="17" fillId="38" borderId="15" xfId="0" applyFont="1" applyFill="1" applyBorder="1" applyAlignment="1" applyProtection="1">
      <alignment horizontal="left" vertical="center" wrapText="1"/>
    </xf>
    <xf numFmtId="0" fontId="17" fillId="38" borderId="10" xfId="0" applyFont="1" applyFill="1" applyBorder="1" applyAlignment="1" applyProtection="1">
      <alignment horizontal="left" vertical="center" wrapText="1"/>
    </xf>
    <xf numFmtId="0" fontId="17" fillId="15" borderId="23" xfId="0" applyFont="1" applyFill="1" applyBorder="1" applyAlignment="1">
      <alignment horizontal="left" vertical="center"/>
    </xf>
    <xf numFmtId="0" fontId="17" fillId="15" borderId="3" xfId="0" applyFont="1" applyFill="1" applyBorder="1" applyAlignment="1">
      <alignment horizontal="left" vertical="center"/>
    </xf>
    <xf numFmtId="0" fontId="17" fillId="24" borderId="35" xfId="0" applyFont="1" applyFill="1" applyBorder="1" applyAlignment="1">
      <alignment horizontal="left" vertical="center"/>
    </xf>
    <xf numFmtId="0" fontId="17" fillId="24" borderId="33" xfId="0" applyFont="1" applyFill="1" applyBorder="1" applyAlignment="1">
      <alignment horizontal="left" vertical="center"/>
    </xf>
    <xf numFmtId="0" fontId="82" fillId="13" borderId="0" xfId="0" applyFont="1" applyFill="1" applyBorder="1" applyAlignment="1">
      <alignment horizontal="center" vertical="center"/>
    </xf>
    <xf numFmtId="0" fontId="70" fillId="38" borderId="15" xfId="0" applyFont="1" applyFill="1" applyBorder="1" applyAlignment="1" applyProtection="1">
      <alignment horizontal="center" vertical="center"/>
    </xf>
    <xf numFmtId="0" fontId="70" fillId="38" borderId="10" xfId="0" applyFont="1" applyFill="1" applyBorder="1" applyAlignment="1" applyProtection="1">
      <alignment horizontal="center" vertical="center"/>
    </xf>
    <xf numFmtId="0" fontId="17" fillId="20" borderId="35" xfId="0" applyFont="1" applyFill="1" applyBorder="1" applyAlignment="1">
      <alignment horizontal="left" vertical="center" wrapText="1"/>
    </xf>
    <xf numFmtId="0" fontId="17" fillId="20" borderId="33" xfId="0" applyFont="1" applyFill="1" applyBorder="1" applyAlignment="1">
      <alignment horizontal="left" vertical="center" wrapText="1"/>
    </xf>
    <xf numFmtId="0" fontId="17" fillId="20" borderId="35" xfId="0" applyFont="1" applyFill="1" applyBorder="1" applyAlignment="1">
      <alignment horizontal="left" vertical="center"/>
    </xf>
    <xf numFmtId="0" fontId="17" fillId="20" borderId="33" xfId="0" applyFont="1" applyFill="1" applyBorder="1" applyAlignment="1">
      <alignment horizontal="left" vertical="center"/>
    </xf>
    <xf numFmtId="0" fontId="70" fillId="38" borderId="76" xfId="0" applyFont="1" applyFill="1" applyBorder="1" applyAlignment="1" applyProtection="1">
      <alignment horizontal="center" vertical="center"/>
    </xf>
    <xf numFmtId="0" fontId="70" fillId="38" borderId="77" xfId="0" applyFont="1" applyFill="1" applyBorder="1" applyAlignment="1" applyProtection="1">
      <alignment horizontal="center" vertical="center"/>
    </xf>
    <xf numFmtId="0" fontId="3" fillId="36" borderId="18" xfId="0" applyFont="1" applyFill="1" applyBorder="1" applyAlignment="1" applyProtection="1">
      <alignment horizontal="center" vertical="top" wrapText="1"/>
    </xf>
    <xf numFmtId="0" fontId="55" fillId="36" borderId="19" xfId="0" applyFont="1" applyFill="1" applyBorder="1" applyAlignment="1" applyProtection="1">
      <alignment horizontal="center" vertical="top" wrapText="1"/>
    </xf>
    <xf numFmtId="0" fontId="55" fillId="36" borderId="20" xfId="0" applyFont="1" applyFill="1" applyBorder="1" applyAlignment="1" applyProtection="1">
      <alignment horizontal="center" vertical="top" wrapText="1"/>
    </xf>
    <xf numFmtId="0" fontId="17" fillId="20" borderId="15" xfId="0" applyFont="1" applyFill="1" applyBorder="1" applyAlignment="1" applyProtection="1">
      <alignment horizontal="left" vertical="center" wrapText="1"/>
    </xf>
    <xf numFmtId="0" fontId="17" fillId="24" borderId="38" xfId="0" applyFont="1" applyFill="1" applyBorder="1" applyAlignment="1">
      <alignment horizontal="left" vertical="center"/>
    </xf>
    <xf numFmtId="0" fontId="52" fillId="29" borderId="51" xfId="0" applyFont="1" applyFill="1" applyBorder="1" applyAlignment="1">
      <alignment horizontal="center" vertical="center" wrapText="1" shrinkToFit="1"/>
    </xf>
    <xf numFmtId="0" fontId="52" fillId="29" borderId="21" xfId="0" applyFont="1" applyFill="1" applyBorder="1" applyAlignment="1">
      <alignment horizontal="center" vertical="center" shrinkToFit="1"/>
    </xf>
    <xf numFmtId="0" fontId="52" fillId="29" borderId="80" xfId="0" applyFont="1" applyFill="1" applyBorder="1" applyAlignment="1">
      <alignment horizontal="center" vertical="center" shrinkToFit="1"/>
    </xf>
    <xf numFmtId="0" fontId="17" fillId="20" borderId="10" xfId="0" applyFont="1" applyFill="1" applyBorder="1" applyAlignment="1" applyProtection="1">
      <alignment horizontal="left" vertical="center" wrapText="1"/>
    </xf>
    <xf numFmtId="0" fontId="119" fillId="11" borderId="0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17" fillId="24" borderId="3" xfId="0" applyFont="1" applyFill="1" applyBorder="1" applyAlignment="1">
      <alignment horizontal="left" vertical="center"/>
    </xf>
    <xf numFmtId="0" fontId="86" fillId="11" borderId="0" xfId="0" applyFont="1" applyFill="1" applyBorder="1" applyAlignment="1">
      <alignment horizontal="center"/>
    </xf>
    <xf numFmtId="0" fontId="86" fillId="11" borderId="22" xfId="0" applyFont="1" applyFill="1" applyBorder="1" applyAlignment="1">
      <alignment horizontal="center"/>
    </xf>
    <xf numFmtId="0" fontId="89" fillId="29" borderId="13" xfId="0" applyFont="1" applyFill="1" applyBorder="1" applyAlignment="1">
      <alignment horizontal="center" vertical="center" wrapText="1"/>
    </xf>
    <xf numFmtId="0" fontId="89" fillId="29" borderId="31" xfId="0" applyFont="1" applyFill="1" applyBorder="1" applyAlignment="1">
      <alignment horizontal="center" vertical="center" wrapText="1"/>
    </xf>
    <xf numFmtId="0" fontId="89" fillId="29" borderId="32" xfId="0" applyFont="1" applyFill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3" fillId="31" borderId="13" xfId="0" applyFont="1" applyFill="1" applyBorder="1" applyAlignment="1" applyProtection="1">
      <alignment horizontal="center" vertical="top" wrapText="1"/>
    </xf>
    <xf numFmtId="0" fontId="3" fillId="31" borderId="31" xfId="0" applyFont="1" applyFill="1" applyBorder="1" applyAlignment="1" applyProtection="1">
      <alignment horizontal="center" vertical="top" wrapText="1"/>
    </xf>
    <xf numFmtId="0" fontId="3" fillId="31" borderId="32" xfId="0" applyFont="1" applyFill="1" applyBorder="1" applyAlignment="1" applyProtection="1">
      <alignment horizontal="center" vertical="top" wrapText="1"/>
    </xf>
    <xf numFmtId="0" fontId="17" fillId="20" borderId="38" xfId="0" applyFont="1" applyFill="1" applyBorder="1" applyAlignment="1" applyProtection="1">
      <alignment horizontal="left" vertical="center" wrapText="1"/>
    </xf>
    <xf numFmtId="0" fontId="17" fillId="20" borderId="38" xfId="0" applyFont="1" applyFill="1" applyBorder="1" applyAlignment="1" applyProtection="1">
      <alignment horizontal="left" vertical="center"/>
    </xf>
    <xf numFmtId="0" fontId="9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 wrapText="1"/>
    </xf>
    <xf numFmtId="0" fontId="52" fillId="12" borderId="28" xfId="0" applyFont="1" applyFill="1" applyBorder="1" applyAlignment="1">
      <alignment horizontal="center" vertical="center" wrapText="1" shrinkToFit="1"/>
    </xf>
    <xf numFmtId="0" fontId="52" fillId="12" borderId="1" xfId="0" applyFont="1" applyFill="1" applyBorder="1" applyAlignment="1">
      <alignment horizontal="center" vertical="center" wrapText="1" shrinkToFit="1"/>
    </xf>
    <xf numFmtId="0" fontId="52" fillId="12" borderId="25" xfId="0" applyFont="1" applyFill="1" applyBorder="1" applyAlignment="1">
      <alignment horizontal="center" vertical="center" wrapText="1" shrinkToFit="1"/>
    </xf>
    <xf numFmtId="0" fontId="17" fillId="24" borderId="81" xfId="0" applyFont="1" applyFill="1" applyBorder="1" applyAlignment="1">
      <alignment horizontal="left" vertical="center"/>
    </xf>
    <xf numFmtId="0" fontId="17" fillId="24" borderId="76" xfId="0" applyFont="1" applyFill="1" applyBorder="1" applyAlignment="1">
      <alignment horizontal="left" vertical="center"/>
    </xf>
    <xf numFmtId="0" fontId="17" fillId="24" borderId="77" xfId="0" applyFont="1" applyFill="1" applyBorder="1" applyAlignment="1">
      <alignment horizontal="left" vertical="center"/>
    </xf>
    <xf numFmtId="0" fontId="23" fillId="20" borderId="0" xfId="0" applyFont="1" applyFill="1" applyBorder="1" applyAlignment="1">
      <alignment horizontal="center" vertical="center"/>
    </xf>
    <xf numFmtId="0" fontId="52" fillId="11" borderId="25" xfId="0" applyFont="1" applyFill="1" applyBorder="1" applyAlignment="1">
      <alignment horizontal="center"/>
    </xf>
    <xf numFmtId="0" fontId="52" fillId="11" borderId="5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  <protection locked="0"/>
    </xf>
    <xf numFmtId="0" fontId="22" fillId="9" borderId="15" xfId="0" applyFont="1" applyFill="1" applyBorder="1" applyAlignment="1" applyProtection="1">
      <alignment horizontal="center" vertical="center"/>
      <protection locked="0"/>
    </xf>
    <xf numFmtId="0" fontId="22" fillId="9" borderId="10" xfId="0" applyFont="1" applyFill="1" applyBorder="1" applyAlignment="1" applyProtection="1">
      <alignment horizontal="center" vertical="center"/>
      <protection locked="0"/>
    </xf>
    <xf numFmtId="0" fontId="49" fillId="30" borderId="0" xfId="0" applyFont="1" applyFill="1" applyBorder="1" applyAlignment="1" applyProtection="1">
      <alignment horizontal="center" vertical="center" wrapText="1"/>
    </xf>
    <xf numFmtId="0" fontId="52" fillId="11" borderId="14" xfId="0" applyFont="1" applyFill="1" applyBorder="1" applyAlignment="1" applyProtection="1">
      <alignment horizontal="left" vertical="center"/>
    </xf>
    <xf numFmtId="0" fontId="52" fillId="11" borderId="15" xfId="0" applyFont="1" applyFill="1" applyBorder="1" applyAlignment="1" applyProtection="1">
      <alignment horizontal="left" vertical="center"/>
    </xf>
    <xf numFmtId="0" fontId="52" fillId="11" borderId="10" xfId="0" applyFont="1" applyFill="1" applyBorder="1" applyAlignment="1" applyProtection="1">
      <alignment horizontal="left" vertical="center"/>
    </xf>
    <xf numFmtId="0" fontId="4" fillId="11" borderId="0" xfId="0" applyFont="1" applyFill="1" applyBorder="1" applyAlignment="1" applyProtection="1">
      <alignment horizontal="left" vertical="center"/>
    </xf>
    <xf numFmtId="0" fontId="17" fillId="12" borderId="0" xfId="0" applyFont="1" applyFill="1" applyBorder="1" applyAlignment="1" applyProtection="1">
      <alignment horizontal="left" vertical="center" wrapText="1"/>
    </xf>
    <xf numFmtId="0" fontId="119" fillId="11" borderId="0" xfId="0" applyFont="1" applyFill="1" applyBorder="1" applyAlignment="1" applyProtection="1">
      <alignment horizontal="center" vertical="center"/>
    </xf>
    <xf numFmtId="0" fontId="105" fillId="11" borderId="0" xfId="0" applyFont="1" applyFill="1" applyBorder="1" applyAlignment="1" applyProtection="1">
      <alignment horizontal="right" wrapText="1"/>
    </xf>
    <xf numFmtId="0" fontId="82" fillId="13" borderId="0" xfId="0" applyFont="1" applyFill="1" applyBorder="1" applyAlignment="1" applyProtection="1">
      <alignment horizontal="center" vertical="center"/>
    </xf>
    <xf numFmtId="0" fontId="83" fillId="20" borderId="28" xfId="0" applyFont="1" applyFill="1" applyBorder="1" applyAlignment="1" applyProtection="1">
      <alignment horizontal="center" vertical="center" wrapText="1"/>
    </xf>
    <xf numFmtId="0" fontId="83" fillId="20" borderId="25" xfId="0" applyFont="1" applyFill="1" applyBorder="1" applyAlignment="1" applyProtection="1">
      <alignment horizontal="center" vertical="center" wrapText="1"/>
    </xf>
    <xf numFmtId="0" fontId="1" fillId="9" borderId="14" xfId="0" applyFon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0" fillId="9" borderId="10" xfId="0" applyFill="1" applyBorder="1" applyAlignment="1" applyProtection="1">
      <alignment horizontal="left" vertical="top"/>
      <protection locked="0"/>
    </xf>
    <xf numFmtId="0" fontId="9" fillId="11" borderId="0" xfId="0" applyFont="1" applyFill="1" applyBorder="1" applyAlignment="1" applyProtection="1">
      <alignment horizontal="right" vertical="center" wrapText="1"/>
    </xf>
    <xf numFmtId="0" fontId="86" fillId="11" borderId="0" xfId="0" applyFont="1" applyFill="1" applyBorder="1" applyAlignment="1" applyProtection="1">
      <alignment horizontal="center" wrapText="1"/>
    </xf>
    <xf numFmtId="0" fontId="86" fillId="11" borderId="27" xfId="0" applyFont="1" applyFill="1" applyBorder="1" applyAlignment="1" applyProtection="1">
      <alignment horizontal="center" wrapText="1"/>
    </xf>
    <xf numFmtId="0" fontId="61" fillId="24" borderId="28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 vertical="center" wrapText="1"/>
    </xf>
    <xf numFmtId="0" fontId="61" fillId="24" borderId="1" xfId="0" applyFont="1" applyFill="1" applyBorder="1" applyAlignment="1">
      <alignment horizontal="center" vertical="center" wrapText="1"/>
    </xf>
    <xf numFmtId="0" fontId="61" fillId="24" borderId="0" xfId="0" applyFont="1" applyFill="1" applyBorder="1" applyAlignment="1">
      <alignment horizontal="center" vertical="center" wrapText="1"/>
    </xf>
    <xf numFmtId="0" fontId="61" fillId="24" borderId="78" xfId="0" applyFont="1" applyFill="1" applyBorder="1" applyAlignment="1">
      <alignment horizontal="center" vertical="center" wrapText="1"/>
    </xf>
    <xf numFmtId="0" fontId="61" fillId="24" borderId="8" xfId="0" applyFont="1" applyFill="1" applyBorder="1" applyAlignment="1">
      <alignment horizontal="center" vertical="center" wrapText="1"/>
    </xf>
    <xf numFmtId="0" fontId="49" fillId="30" borderId="28" xfId="0" applyFont="1" applyFill="1" applyBorder="1" applyAlignment="1">
      <alignment horizontal="center" vertical="center" wrapText="1"/>
    </xf>
    <xf numFmtId="0" fontId="49" fillId="30" borderId="16" xfId="0" applyFont="1" applyFill="1" applyBorder="1" applyAlignment="1">
      <alignment horizontal="center" vertical="center" wrapText="1"/>
    </xf>
    <xf numFmtId="0" fontId="114" fillId="2" borderId="1" xfId="0" applyFont="1" applyFill="1" applyBorder="1" applyAlignment="1">
      <alignment horizontal="left" vertical="center" wrapText="1"/>
    </xf>
    <xf numFmtId="0" fontId="114" fillId="2" borderId="67" xfId="0" applyFont="1" applyFill="1" applyBorder="1" applyAlignment="1">
      <alignment horizontal="left" vertical="center" wrapText="1"/>
    </xf>
    <xf numFmtId="0" fontId="67" fillId="3" borderId="52" xfId="0" applyFont="1" applyFill="1" applyBorder="1" applyAlignment="1" applyProtection="1">
      <alignment horizontal="left" vertical="center"/>
    </xf>
    <xf numFmtId="0" fontId="67" fillId="3" borderId="53" xfId="0" applyFont="1" applyFill="1" applyBorder="1" applyAlignment="1" applyProtection="1">
      <alignment horizontal="left" vertical="center"/>
    </xf>
    <xf numFmtId="0" fontId="67" fillId="3" borderId="54" xfId="0" applyFont="1" applyFill="1" applyBorder="1" applyAlignment="1" applyProtection="1">
      <alignment horizontal="left" vertical="center"/>
    </xf>
    <xf numFmtId="0" fontId="114" fillId="2" borderId="0" xfId="0" applyFont="1" applyFill="1" applyBorder="1" applyAlignment="1" applyProtection="1">
      <alignment horizontal="left" vertical="center" wrapText="1"/>
    </xf>
    <xf numFmtId="0" fontId="114" fillId="2" borderId="1" xfId="0" applyFont="1" applyFill="1" applyBorder="1" applyAlignment="1" applyProtection="1">
      <alignment horizontal="left" vertical="center" wrapText="1"/>
    </xf>
    <xf numFmtId="0" fontId="114" fillId="2" borderId="67" xfId="0" applyFont="1" applyFill="1" applyBorder="1" applyAlignment="1" applyProtection="1">
      <alignment horizontal="left" vertical="center" wrapText="1"/>
    </xf>
    <xf numFmtId="0" fontId="114" fillId="2" borderId="0" xfId="0" applyFont="1" applyFill="1" applyBorder="1" applyAlignment="1" applyProtection="1">
      <alignment horizontal="center" vertical="center" wrapText="1"/>
    </xf>
    <xf numFmtId="0" fontId="67" fillId="3" borderId="66" xfId="0" applyFont="1" applyFill="1" applyBorder="1" applyAlignment="1" applyProtection="1">
      <alignment horizontal="center" vertical="center"/>
    </xf>
    <xf numFmtId="0" fontId="67" fillId="3" borderId="0" xfId="0" applyFont="1" applyFill="1" applyBorder="1" applyAlignment="1" applyProtection="1">
      <alignment horizontal="center" vertical="center"/>
    </xf>
    <xf numFmtId="0" fontId="67" fillId="3" borderId="52" xfId="0" applyFont="1" applyFill="1" applyBorder="1" applyAlignment="1" applyProtection="1">
      <alignment horizontal="center" vertical="center"/>
    </xf>
    <xf numFmtId="0" fontId="67" fillId="3" borderId="53" xfId="0" applyFont="1" applyFill="1" applyBorder="1" applyAlignment="1" applyProtection="1">
      <alignment horizontal="center" vertical="center"/>
    </xf>
    <xf numFmtId="0" fontId="67" fillId="3" borderId="54" xfId="0" applyFont="1" applyFill="1" applyBorder="1" applyAlignment="1" applyProtection="1">
      <alignment horizontal="center" vertical="center"/>
    </xf>
    <xf numFmtId="0" fontId="43" fillId="20" borderId="16" xfId="0" applyFont="1" applyFill="1" applyBorder="1" applyAlignment="1">
      <alignment horizontal="center" wrapText="1"/>
    </xf>
    <xf numFmtId="0" fontId="43" fillId="20" borderId="5" xfId="0" applyFont="1" applyFill="1" applyBorder="1" applyAlignment="1">
      <alignment horizontal="center" wrapText="1"/>
    </xf>
    <xf numFmtId="0" fontId="23" fillId="11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19" fillId="12" borderId="39" xfId="0" applyFont="1" applyFill="1" applyBorder="1" applyAlignment="1">
      <alignment horizontal="center"/>
    </xf>
    <xf numFmtId="0" fontId="19" fillId="12" borderId="40" xfId="0" applyFont="1" applyFill="1" applyBorder="1" applyAlignment="1">
      <alignment horizontal="center"/>
    </xf>
    <xf numFmtId="0" fontId="19" fillId="12" borderId="41" xfId="0" applyFont="1" applyFill="1" applyBorder="1" applyAlignment="1">
      <alignment horizontal="center"/>
    </xf>
    <xf numFmtId="0" fontId="19" fillId="12" borderId="35" xfId="0" applyFont="1" applyFill="1" applyBorder="1" applyAlignment="1">
      <alignment horizontal="center"/>
    </xf>
    <xf numFmtId="0" fontId="19" fillId="12" borderId="33" xfId="0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4" fillId="20" borderId="18" xfId="0" applyFont="1" applyFill="1" applyBorder="1" applyAlignment="1" applyProtection="1">
      <alignment horizontal="center" vertical="center" wrapText="1"/>
    </xf>
    <xf numFmtId="0" fontId="14" fillId="20" borderId="19" xfId="0" applyFont="1" applyFill="1" applyBorder="1" applyAlignment="1" applyProtection="1">
      <alignment horizontal="center" vertical="center" wrapText="1"/>
    </xf>
    <xf numFmtId="0" fontId="14" fillId="20" borderId="20" xfId="0" applyFont="1" applyFill="1" applyBorder="1" applyAlignment="1" applyProtection="1">
      <alignment horizontal="center" vertical="center" wrapText="1"/>
    </xf>
    <xf numFmtId="0" fontId="14" fillId="20" borderId="7" xfId="0" applyFont="1" applyFill="1" applyBorder="1" applyAlignment="1" applyProtection="1">
      <alignment horizontal="center" vertical="center" wrapText="1"/>
    </xf>
    <xf numFmtId="0" fontId="14" fillId="20" borderId="8" xfId="0" applyFont="1" applyFill="1" applyBorder="1" applyAlignment="1" applyProtection="1">
      <alignment horizontal="center" vertical="center" wrapText="1"/>
    </xf>
    <xf numFmtId="0" fontId="14" fillId="20" borderId="9" xfId="0" applyFont="1" applyFill="1" applyBorder="1" applyAlignment="1" applyProtection="1">
      <alignment horizontal="center" vertical="center" wrapText="1"/>
    </xf>
    <xf numFmtId="0" fontId="103" fillId="27" borderId="42" xfId="0" applyFont="1" applyFill="1" applyBorder="1" applyAlignment="1" applyProtection="1">
      <alignment horizontal="center" vertical="center" wrapText="1"/>
      <protection locked="0"/>
    </xf>
    <xf numFmtId="0" fontId="103" fillId="27" borderId="43" xfId="0" applyFont="1" applyFill="1" applyBorder="1" applyAlignment="1" applyProtection="1">
      <alignment horizontal="center" vertical="center" wrapText="1"/>
      <protection locked="0"/>
    </xf>
    <xf numFmtId="0" fontId="103" fillId="27" borderId="50" xfId="0" applyFont="1" applyFill="1" applyBorder="1" applyAlignment="1" applyProtection="1">
      <alignment horizontal="center" vertical="center" wrapText="1"/>
      <protection locked="0"/>
    </xf>
    <xf numFmtId="0" fontId="65" fillId="12" borderId="51" xfId="0" applyFont="1" applyFill="1" applyBorder="1" applyAlignment="1">
      <alignment horizontal="center" vertical="center" textRotation="90" wrapText="1"/>
    </xf>
    <xf numFmtId="0" fontId="65" fillId="12" borderId="21" xfId="0" applyFont="1" applyFill="1" applyBorder="1" applyAlignment="1">
      <alignment horizontal="center" vertical="center" textRotation="90" wrapText="1"/>
    </xf>
    <xf numFmtId="0" fontId="65" fillId="12" borderId="28" xfId="0" applyFont="1" applyFill="1" applyBorder="1" applyAlignment="1">
      <alignment horizontal="center" vertical="center" textRotation="90" wrapText="1"/>
    </xf>
    <xf numFmtId="0" fontId="65" fillId="12" borderId="1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03" fillId="27" borderId="39" xfId="0" applyFont="1" applyFill="1" applyBorder="1" applyAlignment="1" applyProtection="1">
      <alignment horizontal="center" vertical="center" wrapText="1"/>
      <protection locked="0"/>
    </xf>
    <xf numFmtId="0" fontId="103" fillId="27" borderId="40" xfId="0" applyFont="1" applyFill="1" applyBorder="1" applyAlignment="1" applyProtection="1">
      <alignment horizontal="center" vertical="center" wrapText="1"/>
      <protection locked="0"/>
    </xf>
    <xf numFmtId="0" fontId="103" fillId="27" borderId="41" xfId="0" applyFont="1" applyFill="1" applyBorder="1" applyAlignment="1" applyProtection="1">
      <alignment horizontal="center" vertical="center" wrapText="1"/>
      <protection locked="0"/>
    </xf>
    <xf numFmtId="0" fontId="65" fillId="3" borderId="14" xfId="0" applyFont="1" applyFill="1" applyBorder="1" applyAlignment="1">
      <alignment horizontal="center" vertical="center" textRotation="90" wrapText="1"/>
    </xf>
    <xf numFmtId="0" fontId="22" fillId="3" borderId="10" xfId="0" applyFont="1" applyFill="1" applyBorder="1" applyAlignment="1">
      <alignment horizontal="center" vertical="center" textRotation="90" wrapText="1"/>
    </xf>
    <xf numFmtId="0" fontId="65" fillId="12" borderId="24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5" fillId="3" borderId="46" xfId="0" applyFont="1" applyFill="1" applyBorder="1" applyAlignment="1">
      <alignment horizontal="center" vertical="center" textRotation="90" wrapText="1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14" fillId="20" borderId="14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10" xfId="0" applyFont="1" applyFill="1" applyBorder="1" applyAlignment="1">
      <alignment textRotation="90"/>
    </xf>
    <xf numFmtId="0" fontId="114" fillId="20" borderId="38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15" xfId="0" applyFont="1" applyFill="1" applyBorder="1" applyAlignment="1" applyProtection="1">
      <alignment horizontal="center" vertical="center" textRotation="90" wrapText="1"/>
      <protection locked="0"/>
    </xf>
    <xf numFmtId="0" fontId="114" fillId="20" borderId="10" xfId="0" applyFont="1" applyFill="1" applyBorder="1" applyAlignment="1" applyProtection="1">
      <alignment horizontal="center" vertical="center" textRotation="90" wrapText="1"/>
      <protection locked="0"/>
    </xf>
    <xf numFmtId="0" fontId="131" fillId="26" borderId="39" xfId="0" applyFont="1" applyFill="1" applyBorder="1" applyAlignment="1" applyProtection="1">
      <alignment horizontal="center" vertical="center" wrapText="1"/>
      <protection locked="0"/>
    </xf>
    <xf numFmtId="0" fontId="131" fillId="26" borderId="40" xfId="0" applyFont="1" applyFill="1" applyBorder="1" applyAlignment="1" applyProtection="1">
      <alignment horizontal="center" vertical="center" wrapText="1"/>
      <protection locked="0"/>
    </xf>
    <xf numFmtId="0" fontId="131" fillId="26" borderId="42" xfId="0" applyFont="1" applyFill="1" applyBorder="1" applyAlignment="1" applyProtection="1">
      <alignment horizontal="center" vertical="center" wrapText="1"/>
      <protection locked="0"/>
    </xf>
    <xf numFmtId="0" fontId="131" fillId="26" borderId="43" xfId="0" applyFont="1" applyFill="1" applyBorder="1" applyAlignment="1" applyProtection="1">
      <alignment horizontal="center" vertical="center" wrapText="1"/>
      <protection locked="0"/>
    </xf>
    <xf numFmtId="0" fontId="131" fillId="26" borderId="74" xfId="0" applyFont="1" applyFill="1" applyBorder="1" applyAlignment="1" applyProtection="1">
      <alignment horizontal="center" vertical="center" wrapText="1"/>
      <protection locked="0"/>
    </xf>
    <xf numFmtId="0" fontId="131" fillId="26" borderId="36" xfId="0" applyFont="1" applyFill="1" applyBorder="1" applyAlignment="1" applyProtection="1">
      <alignment horizontal="center" vertical="center" wrapText="1"/>
      <protection locked="0"/>
    </xf>
    <xf numFmtId="0" fontId="131" fillId="26" borderId="37" xfId="0" applyFont="1" applyFill="1" applyBorder="1" applyAlignment="1" applyProtection="1">
      <alignment horizontal="center" vertical="center" wrapText="1"/>
      <protection locked="0"/>
    </xf>
    <xf numFmtId="0" fontId="0" fillId="11" borderId="28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11" borderId="27" xfId="0" applyFill="1" applyBorder="1" applyAlignment="1" applyProtection="1">
      <alignment horizontal="center"/>
    </xf>
    <xf numFmtId="0" fontId="0" fillId="11" borderId="25" xfId="0" applyFill="1" applyBorder="1" applyAlignment="1" applyProtection="1">
      <alignment horizontal="center"/>
    </xf>
    <xf numFmtId="0" fontId="0" fillId="11" borderId="26" xfId="0" applyFill="1" applyBorder="1" applyAlignment="1" applyProtection="1">
      <alignment horizontal="center"/>
    </xf>
    <xf numFmtId="0" fontId="118" fillId="27" borderId="1" xfId="0" applyFont="1" applyFill="1" applyBorder="1" applyAlignment="1" applyProtection="1">
      <alignment horizontal="left" vertical="center" wrapText="1"/>
    </xf>
    <xf numFmtId="0" fontId="118" fillId="27" borderId="0" xfId="0" applyFont="1" applyFill="1" applyBorder="1" applyAlignment="1" applyProtection="1">
      <alignment horizontal="left" vertical="center" wrapText="1"/>
    </xf>
    <xf numFmtId="0" fontId="94" fillId="20" borderId="0" xfId="0" applyFont="1" applyFill="1" applyBorder="1" applyAlignment="1" applyProtection="1">
      <alignment horizontal="center" vertical="center" wrapText="1"/>
    </xf>
    <xf numFmtId="0" fontId="94" fillId="20" borderId="27" xfId="0" applyFont="1" applyFill="1" applyBorder="1" applyAlignment="1" applyProtection="1">
      <alignment horizontal="center" vertical="center" wrapText="1"/>
    </xf>
    <xf numFmtId="0" fontId="96" fillId="11" borderId="0" xfId="0" applyFont="1" applyFill="1" applyBorder="1" applyAlignment="1" applyProtection="1">
      <alignment horizontal="center" vertical="center" wrapText="1"/>
    </xf>
    <xf numFmtId="0" fontId="49" fillId="30" borderId="0" xfId="0" applyFont="1" applyFill="1" applyBorder="1" applyAlignment="1" applyProtection="1">
      <alignment horizontal="center" wrapText="1"/>
    </xf>
    <xf numFmtId="0" fontId="46" fillId="13" borderId="14" xfId="0" applyFont="1" applyFill="1" applyBorder="1" applyAlignment="1" applyProtection="1">
      <alignment horizontal="center"/>
    </xf>
    <xf numFmtId="0" fontId="46" fillId="13" borderId="15" xfId="0" applyFont="1" applyFill="1" applyBorder="1" applyAlignment="1" applyProtection="1">
      <alignment horizontal="center"/>
    </xf>
    <xf numFmtId="0" fontId="46" fillId="13" borderId="10" xfId="0" applyFont="1" applyFill="1" applyBorder="1" applyAlignment="1" applyProtection="1">
      <alignment horizontal="center"/>
    </xf>
    <xf numFmtId="0" fontId="117" fillId="30" borderId="1" xfId="0" applyFont="1" applyFill="1" applyBorder="1" applyAlignment="1" applyProtection="1">
      <alignment horizontal="center" vertical="center" wrapText="1"/>
    </xf>
    <xf numFmtId="0" fontId="117" fillId="30" borderId="0" xfId="0" applyFont="1" applyFill="1" applyBorder="1" applyAlignment="1" applyProtection="1">
      <alignment horizontal="center" vertical="center" wrapText="1"/>
    </xf>
    <xf numFmtId="0" fontId="26" fillId="26" borderId="1" xfId="0" applyFont="1" applyFill="1" applyBorder="1" applyAlignment="1" applyProtection="1">
      <alignment horizontal="left" vertical="center" wrapText="1"/>
    </xf>
    <xf numFmtId="0" fontId="26" fillId="26" borderId="0" xfId="0" applyFont="1" applyFill="1" applyBorder="1" applyAlignment="1" applyProtection="1">
      <alignment horizontal="left" vertical="center" wrapText="1"/>
    </xf>
    <xf numFmtId="0" fontId="26" fillId="30" borderId="0" xfId="0" applyFont="1" applyFill="1" applyBorder="1" applyAlignment="1" applyProtection="1">
      <alignment horizontal="center" vertical="center" wrapText="1"/>
    </xf>
    <xf numFmtId="0" fontId="26" fillId="30" borderId="1" xfId="0" applyFont="1" applyFill="1" applyBorder="1" applyAlignment="1" applyProtection="1">
      <alignment horizontal="center" vertical="center" wrapText="1"/>
    </xf>
    <xf numFmtId="0" fontId="82" fillId="24" borderId="3" xfId="0" applyFont="1" applyFill="1" applyBorder="1" applyAlignment="1" applyProtection="1">
      <alignment horizontal="center" vertical="center"/>
    </xf>
    <xf numFmtId="9" fontId="23" fillId="20" borderId="3" xfId="0" applyNumberFormat="1" applyFont="1" applyFill="1" applyBorder="1" applyAlignment="1" applyProtection="1">
      <alignment horizontal="center" vertical="center"/>
    </xf>
  </cellXfs>
  <cellStyles count="5">
    <cellStyle name="Collegamento ipertestuale" xfId="1" builtinId="8"/>
    <cellStyle name="Euro" xfId="2"/>
    <cellStyle name="Migliaia" xfId="3" builtinId="3"/>
    <cellStyle name="Normale" xfId="0" builtinId="0"/>
    <cellStyle name="Percentuale" xfId="4" builtinId="5"/>
  </cellStyles>
  <dxfs count="207"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CC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CC00FF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CC00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CC00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CC00FF"/>
        </patternFill>
      </fill>
    </dxf>
    <dxf>
      <fill>
        <patternFill>
          <bgColor rgb="FFCC00FF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CC00FF"/>
        </patternFill>
      </fill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indexed="46"/>
        </patternFill>
      </fill>
    </dxf>
    <dxf>
      <fill>
        <patternFill>
          <bgColor indexed="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3300"/>
        </patternFill>
      </fill>
    </dxf>
    <dxf>
      <font>
        <strike val="0"/>
        <color theme="0"/>
      </font>
      <fill>
        <patternFill>
          <bgColor rgb="FFCC00FF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46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F3300"/>
      <color rgb="FFCC00FF"/>
      <color rgb="FFCC66FF"/>
      <color rgb="FFAE0DFF"/>
      <color rgb="FFFFFF99"/>
      <color rgb="FFFFFF66"/>
      <color rgb="FF000000"/>
      <color rgb="FFC0C0C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3" Type="http://schemas.openxmlformats.org/officeDocument/2006/relationships/image" Target="../media/image34.jpeg"/><Relationship Id="rId7" Type="http://schemas.openxmlformats.org/officeDocument/2006/relationships/image" Target="../media/image38.jpeg"/><Relationship Id="rId2" Type="http://schemas.openxmlformats.org/officeDocument/2006/relationships/image" Target="../media/image33.jpeg"/><Relationship Id="rId1" Type="http://schemas.openxmlformats.org/officeDocument/2006/relationships/image" Target="../media/image32.jpeg"/><Relationship Id="rId6" Type="http://schemas.openxmlformats.org/officeDocument/2006/relationships/image" Target="../media/image37.jpeg"/><Relationship Id="rId5" Type="http://schemas.openxmlformats.org/officeDocument/2006/relationships/image" Target="../media/image36.jpeg"/><Relationship Id="rId4" Type="http://schemas.openxmlformats.org/officeDocument/2006/relationships/image" Target="../media/image3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view3D>
      <c:rotX val="23"/>
      <c:hPercent val="5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003993032565619E-2"/>
          <c:y val="1.5768781114750038E-2"/>
          <c:w val="0.93575600259571723"/>
          <c:h val="0.6684861206128766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6"/>
            <c:invertIfNegative val="0"/>
            <c:bubble3D val="0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</c:spPr>
          </c:dPt>
          <c:dPt>
            <c:idx val="9"/>
            <c:invertIfNegative val="0"/>
            <c:bubble3D val="0"/>
            <c:spPr>
              <a:blipFill>
                <a:blip xmlns:r="http://schemas.openxmlformats.org/officeDocument/2006/relationships" r:embed="rId4"/>
                <a:tile tx="0" ty="0" sx="100000" sy="100000" flip="none" algn="tl"/>
              </a:blipFill>
            </c:spPr>
          </c:dPt>
          <c:dPt>
            <c:idx val="10"/>
            <c:invertIfNegative val="0"/>
            <c:bubble3D val="0"/>
            <c:spPr>
              <a:blipFill>
                <a:blip xmlns:r="http://schemas.openxmlformats.org/officeDocument/2006/relationships" r:embed="rId5"/>
                <a:tile tx="0" ty="0" sx="100000" sy="100000" flip="none" algn="tl"/>
              </a:blipFill>
            </c:spPr>
          </c:dPt>
          <c:dPt>
            <c:idx val="11"/>
            <c:invertIfNegative val="0"/>
            <c:bubble3D val="0"/>
            <c:spPr>
              <a:blipFill>
                <a:blip xmlns:r="http://schemas.openxmlformats.org/officeDocument/2006/relationships" r:embed="rId6"/>
                <a:tile tx="0" ty="0" sx="100000" sy="100000" flip="none" algn="tl"/>
              </a:blipFill>
            </c:spPr>
          </c:dPt>
          <c:dPt>
            <c:idx val="12"/>
            <c:invertIfNegative val="0"/>
            <c:bubble3D val="0"/>
            <c:spPr>
              <a:blipFill>
                <a:blip xmlns:r="http://schemas.openxmlformats.org/officeDocument/2006/relationships" r:embed="rId7"/>
                <a:tile tx="0" ty="0" sx="100000" sy="100000" flip="none" algn="tl"/>
              </a:blipFill>
            </c:spPr>
          </c:dPt>
          <c:dPt>
            <c:idx val="13"/>
            <c:invertIfNegative val="0"/>
            <c:bubble3D val="0"/>
            <c:spPr>
              <a:blipFill>
                <a:blip xmlns:r="http://schemas.openxmlformats.org/officeDocument/2006/relationships" r:embed="rId8"/>
                <a:tile tx="0" ty="0" sx="100000" sy="100000" flip="none" algn="tl"/>
              </a:blipFill>
            </c:spPr>
          </c:dPt>
          <c:cat>
            <c:strRef>
              <c:f>SYNTHESIS!$C$86:$P$86</c:f>
              <c:strCache>
                <c:ptCount val="14"/>
                <c:pt idx="0">
                  <c:v>REPETITIVE MOV</c:v>
                </c:pt>
                <c:pt idx="1">
                  <c:v>LIFTING</c:v>
                </c:pt>
                <c:pt idx="2">
                  <c:v>CARRYING</c:v>
                </c:pt>
                <c:pt idx="3">
                  <c:v>PUSH-PULL</c:v>
                </c:pt>
                <c:pt idx="4">
                  <c:v>POSTURES</c:v>
                </c:pt>
                <c:pt idx="5">
                  <c:v>ORGANIZATIONAL</c:v>
                </c:pt>
                <c:pt idx="6">
                  <c:v>LIGHTING</c:v>
                </c:pt>
                <c:pt idx="7">
                  <c:v>RADIATION UV</c:v>
                </c:pt>
                <c:pt idx="8">
                  <c:v>NOISE</c:v>
                </c:pt>
                <c:pt idx="9">
                  <c:v>MICROCLIMATE</c:v>
                </c:pt>
                <c:pt idx="10">
                  <c:v>VIBRATIONS</c:v>
                </c:pt>
                <c:pt idx="11">
                  <c:v>EQUIPMENTS AND TOOLS</c:v>
                </c:pt>
                <c:pt idx="12">
                  <c:v>MACHINERY</c:v>
                </c:pt>
                <c:pt idx="13">
                  <c:v>POLLUTTANTS OR OTHERS</c:v>
                </c:pt>
              </c:strCache>
            </c:strRef>
          </c:cat>
          <c:val>
            <c:numRef>
              <c:f>SYNTHESIS!$C$87:$P$87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oneToMa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101163392"/>
        <c:axId val="101164928"/>
        <c:axId val="101126144"/>
      </c:bar3DChart>
      <c:catAx>
        <c:axId val="1011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2000"/>
            </a:pPr>
            <a:endParaRPr lang="it-IT"/>
          </a:p>
        </c:txPr>
        <c:crossAx val="1011649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116492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it-IT"/>
          </a:p>
        </c:txPr>
        <c:crossAx val="101163392"/>
        <c:crosses val="autoZero"/>
        <c:crossBetween val="between"/>
        <c:minorUnit val="2.0000000000000004E-2"/>
      </c:valAx>
      <c:serAx>
        <c:axId val="10112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101164928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5" Type="http://schemas.openxmlformats.org/officeDocument/2006/relationships/image" Target="../media/image19.emf"/><Relationship Id="rId4" Type="http://schemas.openxmlformats.org/officeDocument/2006/relationships/image" Target="../media/image1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1.png"/><Relationship Id="rId1" Type="http://schemas.openxmlformats.org/officeDocument/2006/relationships/image" Target="../media/image1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3" Type="http://schemas.openxmlformats.org/officeDocument/2006/relationships/image" Target="../media/image23.emf"/><Relationship Id="rId7" Type="http://schemas.openxmlformats.org/officeDocument/2006/relationships/image" Target="../media/image27.png"/><Relationship Id="rId2" Type="http://schemas.openxmlformats.org/officeDocument/2006/relationships/image" Target="../media/image22.emf"/><Relationship Id="rId1" Type="http://schemas.openxmlformats.org/officeDocument/2006/relationships/image" Target="../media/image15.emf"/><Relationship Id="rId6" Type="http://schemas.openxmlformats.org/officeDocument/2006/relationships/image" Target="../media/image26.emf"/><Relationship Id="rId11" Type="http://schemas.openxmlformats.org/officeDocument/2006/relationships/image" Target="../media/image31.emf"/><Relationship Id="rId5" Type="http://schemas.openxmlformats.org/officeDocument/2006/relationships/image" Target="../media/image25.emf"/><Relationship Id="rId10" Type="http://schemas.openxmlformats.org/officeDocument/2006/relationships/image" Target="../media/image30.emf"/><Relationship Id="rId4" Type="http://schemas.openxmlformats.org/officeDocument/2006/relationships/image" Target="../media/image24.emf"/><Relationship Id="rId9" Type="http://schemas.openxmlformats.org/officeDocument/2006/relationships/image" Target="../media/image2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2" name="Line 27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3" name="Line 28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4" name="Line 29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5" name="Line 30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6" name="Line 31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7" name="Line 32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8" name="Line 33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 macro="" textlink="">
      <xdr:nvSpPr>
        <xdr:cNvPr id="70829" name="Line 34"/>
        <xdr:cNvSpPr>
          <a:spLocks noChangeShapeType="1"/>
        </xdr:cNvSpPr>
      </xdr:nvSpPr>
      <xdr:spPr bwMode="auto">
        <a:xfrm flipH="1">
          <a:off x="228028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104775</xdr:colOff>
      <xdr:row>60</xdr:row>
      <xdr:rowOff>0</xdr:rowOff>
    </xdr:from>
    <xdr:to>
      <xdr:col>14</xdr:col>
      <xdr:colOff>723900</xdr:colOff>
      <xdr:row>60</xdr:row>
      <xdr:rowOff>0</xdr:rowOff>
    </xdr:to>
    <xdr:grpSp>
      <xdr:nvGrpSpPr>
        <xdr:cNvPr id="70836" name="Group 236"/>
        <xdr:cNvGrpSpPr>
          <a:grpSpLocks/>
        </xdr:cNvGrpSpPr>
      </xdr:nvGrpSpPr>
      <xdr:grpSpPr bwMode="auto">
        <a:xfrm>
          <a:off x="10366375" y="13690600"/>
          <a:ext cx="682625" cy="0"/>
          <a:chOff x="622" y="1179"/>
          <a:chExt cx="80" cy="143"/>
        </a:xfrm>
      </xdr:grpSpPr>
      <xdr:sp macro="" textlink="">
        <xdr:nvSpPr>
          <xdr:cNvPr id="1262" name="Text Box 238"/>
          <xdr:cNvSpPr txBox="1">
            <a:spLocks noChangeArrowheads="1"/>
          </xdr:cNvSpPr>
        </xdr:nvSpPr>
        <xdr:spPr bwMode="auto">
          <a:xfrm>
            <a:off x="125186284425" y="143351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1263" name="Text Box 239"/>
          <xdr:cNvSpPr txBox="1">
            <a:spLocks noChangeArrowheads="1"/>
          </xdr:cNvSpPr>
        </xdr:nvSpPr>
        <xdr:spPr bwMode="auto">
          <a:xfrm>
            <a:off x="125186284425" y="143351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1264" name="Text Box 240"/>
          <xdr:cNvSpPr txBox="1">
            <a:spLocks noChangeArrowheads="1"/>
          </xdr:cNvSpPr>
        </xdr:nvSpPr>
        <xdr:spPr bwMode="auto">
          <a:xfrm>
            <a:off x="125186284425" y="143351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57150</xdr:colOff>
      <xdr:row>81</xdr:row>
      <xdr:rowOff>57150</xdr:rowOff>
    </xdr:from>
    <xdr:to>
      <xdr:col>13</xdr:col>
      <xdr:colOff>561975</xdr:colOff>
      <xdr:row>84</xdr:row>
      <xdr:rowOff>219075</xdr:rowOff>
    </xdr:to>
    <xdr:grpSp>
      <xdr:nvGrpSpPr>
        <xdr:cNvPr id="70857" name="Group 3186"/>
        <xdr:cNvGrpSpPr>
          <a:grpSpLocks/>
        </xdr:cNvGrpSpPr>
      </xdr:nvGrpSpPr>
      <xdr:grpSpPr bwMode="auto">
        <a:xfrm>
          <a:off x="10318750" y="20808950"/>
          <a:ext cx="504825" cy="962025"/>
          <a:chOff x="622" y="1179"/>
          <a:chExt cx="80" cy="143"/>
        </a:xfrm>
      </xdr:grpSpPr>
      <xdr:sp macro="" textlink="">
        <xdr:nvSpPr>
          <xdr:cNvPr id="70891" name="Text Box 3188"/>
          <xdr:cNvSpPr txBox="1">
            <a:spLocks noChangeArrowheads="1"/>
          </xdr:cNvSpPr>
        </xdr:nvSpPr>
        <xdr:spPr bwMode="auto">
          <a:xfrm>
            <a:off x="632" y="1199"/>
            <a:ext cx="58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0892" name="Text Box 3189"/>
          <xdr:cNvSpPr txBox="1">
            <a:spLocks noChangeArrowheads="1"/>
          </xdr:cNvSpPr>
        </xdr:nvSpPr>
        <xdr:spPr bwMode="auto">
          <a:xfrm>
            <a:off x="632" y="1240"/>
            <a:ext cx="58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0893" name="Text Box 3190"/>
          <xdr:cNvSpPr txBox="1">
            <a:spLocks noChangeArrowheads="1"/>
          </xdr:cNvSpPr>
        </xdr:nvSpPr>
        <xdr:spPr bwMode="auto">
          <a:xfrm>
            <a:off x="633" y="1278"/>
            <a:ext cx="58" cy="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44904</xdr:colOff>
      <xdr:row>1</xdr:row>
      <xdr:rowOff>53068</xdr:rowOff>
    </xdr:from>
    <xdr:to>
      <xdr:col>2</xdr:col>
      <xdr:colOff>1338811</xdr:colOff>
      <xdr:row>1</xdr:row>
      <xdr:rowOff>805543</xdr:rowOff>
    </xdr:to>
    <xdr:pic>
      <xdr:nvPicPr>
        <xdr:cNvPr id="70866" name="6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083" y="325211"/>
          <a:ext cx="1872210" cy="752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13</xdr:col>
      <xdr:colOff>68036</xdr:colOff>
      <xdr:row>96</xdr:row>
      <xdr:rowOff>1</xdr:rowOff>
    </xdr:from>
    <xdr:to>
      <xdr:col>14</xdr:col>
      <xdr:colOff>0</xdr:colOff>
      <xdr:row>99</xdr:row>
      <xdr:rowOff>155121</xdr:rowOff>
    </xdr:to>
    <xdr:pic>
      <xdr:nvPicPr>
        <xdr:cNvPr id="290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8286" y="31895144"/>
          <a:ext cx="680357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68035</xdr:colOff>
      <xdr:row>109</xdr:row>
      <xdr:rowOff>212612</xdr:rowOff>
    </xdr:from>
    <xdr:to>
      <xdr:col>14</xdr:col>
      <xdr:colOff>0</xdr:colOff>
      <xdr:row>112</xdr:row>
      <xdr:rowOff>295616</xdr:rowOff>
    </xdr:to>
    <xdr:pic>
      <xdr:nvPicPr>
        <xdr:cNvPr id="291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856" y="32257433"/>
          <a:ext cx="6762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51027</xdr:colOff>
      <xdr:row>129</xdr:row>
      <xdr:rowOff>178594</xdr:rowOff>
    </xdr:from>
    <xdr:to>
      <xdr:col>13</xdr:col>
      <xdr:colOff>727302</xdr:colOff>
      <xdr:row>132</xdr:row>
      <xdr:rowOff>193560</xdr:rowOff>
    </xdr:to>
    <xdr:pic>
      <xdr:nvPicPr>
        <xdr:cNvPr id="292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6848" y="35693237"/>
          <a:ext cx="676275" cy="95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91849</xdr:colOff>
      <xdr:row>146</xdr:row>
      <xdr:rowOff>1701</xdr:rowOff>
    </xdr:from>
    <xdr:to>
      <xdr:col>14</xdr:col>
      <xdr:colOff>0</xdr:colOff>
      <xdr:row>149</xdr:row>
      <xdr:rowOff>143558</xdr:rowOff>
    </xdr:to>
    <xdr:pic>
      <xdr:nvPicPr>
        <xdr:cNvPr id="293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7670" y="39394380"/>
          <a:ext cx="676275" cy="958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81643</xdr:colOff>
      <xdr:row>164</xdr:row>
      <xdr:rowOff>0</xdr:rowOff>
    </xdr:from>
    <xdr:to>
      <xdr:col>14</xdr:col>
      <xdr:colOff>0</xdr:colOff>
      <xdr:row>167</xdr:row>
      <xdr:rowOff>142873</xdr:rowOff>
    </xdr:to>
    <xdr:pic>
      <xdr:nvPicPr>
        <xdr:cNvPr id="294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7464" y="43202679"/>
          <a:ext cx="676275" cy="959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62932</xdr:colOff>
      <xdr:row>183</xdr:row>
      <xdr:rowOff>10208</xdr:rowOff>
    </xdr:from>
    <xdr:to>
      <xdr:col>14</xdr:col>
      <xdr:colOff>4535</xdr:colOff>
      <xdr:row>186</xdr:row>
      <xdr:rowOff>140837</xdr:rowOff>
    </xdr:to>
    <xdr:pic>
      <xdr:nvPicPr>
        <xdr:cNvPr id="295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182" y="52438529"/>
          <a:ext cx="671853" cy="947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35717</xdr:colOff>
      <xdr:row>201</xdr:row>
      <xdr:rowOff>25515</xdr:rowOff>
    </xdr:from>
    <xdr:to>
      <xdr:col>13</xdr:col>
      <xdr:colOff>721178</xdr:colOff>
      <xdr:row>204</xdr:row>
      <xdr:rowOff>146624</xdr:rowOff>
    </xdr:to>
    <xdr:pic>
      <xdr:nvPicPr>
        <xdr:cNvPr id="296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967" y="56372694"/>
          <a:ext cx="685461" cy="937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51027</xdr:colOff>
      <xdr:row>219</xdr:row>
      <xdr:rowOff>263637</xdr:rowOff>
    </xdr:from>
    <xdr:to>
      <xdr:col>13</xdr:col>
      <xdr:colOff>721179</xdr:colOff>
      <xdr:row>223</xdr:row>
      <xdr:rowOff>145258</xdr:rowOff>
    </xdr:to>
    <xdr:pic>
      <xdr:nvPicPr>
        <xdr:cNvPr id="2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1277" y="60760994"/>
          <a:ext cx="670152" cy="970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76539</xdr:colOff>
      <xdr:row>242</xdr:row>
      <xdr:rowOff>154779</xdr:rowOff>
    </xdr:from>
    <xdr:to>
      <xdr:col>14</xdr:col>
      <xdr:colOff>0</xdr:colOff>
      <xdr:row>246</xdr:row>
      <xdr:rowOff>104434</xdr:rowOff>
    </xdr:to>
    <xdr:pic>
      <xdr:nvPicPr>
        <xdr:cNvPr id="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789" y="65904493"/>
          <a:ext cx="685461" cy="902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469447</xdr:colOff>
      <xdr:row>1</xdr:row>
      <xdr:rowOff>52388</xdr:rowOff>
    </xdr:from>
    <xdr:to>
      <xdr:col>13</xdr:col>
      <xdr:colOff>552317</xdr:colOff>
      <xdr:row>1</xdr:row>
      <xdr:rowOff>804863</xdr:rowOff>
    </xdr:to>
    <xdr:pic>
      <xdr:nvPicPr>
        <xdr:cNvPr id="173" name="6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6" y="324531"/>
          <a:ext cx="1872210" cy="752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</xdr:col>
      <xdr:colOff>1605643</xdr:colOff>
      <xdr:row>68</xdr:row>
      <xdr:rowOff>54428</xdr:rowOff>
    </xdr:from>
    <xdr:to>
      <xdr:col>2</xdr:col>
      <xdr:colOff>1858037</xdr:colOff>
      <xdr:row>68</xdr:row>
      <xdr:rowOff>481407</xdr:rowOff>
    </xdr:to>
    <xdr:pic>
      <xdr:nvPicPr>
        <xdr:cNvPr id="174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29" y="16859249"/>
          <a:ext cx="252394" cy="426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1564821</xdr:colOff>
      <xdr:row>69</xdr:row>
      <xdr:rowOff>110232</xdr:rowOff>
    </xdr:from>
    <xdr:to>
      <xdr:col>2</xdr:col>
      <xdr:colOff>1864178</xdr:colOff>
      <xdr:row>69</xdr:row>
      <xdr:rowOff>467737</xdr:rowOff>
    </xdr:to>
    <xdr:pic>
      <xdr:nvPicPr>
        <xdr:cNvPr id="175" name="Immagine 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90107" y="17445732"/>
          <a:ext cx="299357" cy="357505"/>
        </a:xfrm>
        <a:prstGeom prst="rect">
          <a:avLst/>
        </a:prstGeom>
      </xdr:spPr>
    </xdr:pic>
    <xdr:clientData/>
  </xdr:twoCellAnchor>
  <xdr:twoCellAnchor editAs="oneCell">
    <xdr:from>
      <xdr:col>2</xdr:col>
      <xdr:colOff>1684564</xdr:colOff>
      <xdr:row>67</xdr:row>
      <xdr:rowOff>23133</xdr:rowOff>
    </xdr:from>
    <xdr:to>
      <xdr:col>2</xdr:col>
      <xdr:colOff>1901973</xdr:colOff>
      <xdr:row>67</xdr:row>
      <xdr:rowOff>461283</xdr:rowOff>
    </xdr:to>
    <xdr:pic>
      <xdr:nvPicPr>
        <xdr:cNvPr id="176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6297276"/>
          <a:ext cx="21740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1294040</xdr:colOff>
      <xdr:row>67</xdr:row>
      <xdr:rowOff>13607</xdr:rowOff>
    </xdr:from>
    <xdr:to>
      <xdr:col>2</xdr:col>
      <xdr:colOff>1579789</xdr:colOff>
      <xdr:row>67</xdr:row>
      <xdr:rowOff>424770</xdr:rowOff>
    </xdr:to>
    <xdr:grpSp>
      <xdr:nvGrpSpPr>
        <xdr:cNvPr id="177" name="Group 3054"/>
        <xdr:cNvGrpSpPr>
          <a:grpSpLocks/>
        </xdr:cNvGrpSpPr>
      </xdr:nvGrpSpPr>
      <xdr:grpSpPr bwMode="auto">
        <a:xfrm>
          <a:off x="2259240" y="16206107"/>
          <a:ext cx="285749" cy="411163"/>
          <a:chOff x="445" y="3"/>
          <a:chExt cx="239" cy="516"/>
        </a:xfrm>
      </xdr:grpSpPr>
      <xdr:sp macro="" textlink="">
        <xdr:nvSpPr>
          <xdr:cNvPr id="178" name="AutoShape 3055"/>
          <xdr:cNvSpPr>
            <a:spLocks noChangeArrowheads="1"/>
          </xdr:cNvSpPr>
        </xdr:nvSpPr>
        <xdr:spPr bwMode="auto">
          <a:xfrm rot="1855128">
            <a:off x="523" y="3"/>
            <a:ext cx="68" cy="141"/>
          </a:xfrm>
          <a:prstGeom prst="smileyFace">
            <a:avLst>
              <a:gd name="adj" fmla="val 4653"/>
            </a:avLst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79" name="Group 3056"/>
          <xdr:cNvGrpSpPr>
            <a:grpSpLocks/>
          </xdr:cNvGrpSpPr>
        </xdr:nvGrpSpPr>
        <xdr:grpSpPr bwMode="auto">
          <a:xfrm>
            <a:off x="445" y="117"/>
            <a:ext cx="239" cy="402"/>
            <a:chOff x="445" y="117"/>
            <a:chExt cx="246" cy="430"/>
          </a:xfrm>
        </xdr:grpSpPr>
        <xdr:sp macro="" textlink="">
          <xdr:nvSpPr>
            <xdr:cNvPr id="180" name="Line 3057"/>
            <xdr:cNvSpPr>
              <a:spLocks noChangeShapeType="1"/>
            </xdr:cNvSpPr>
          </xdr:nvSpPr>
          <xdr:spPr bwMode="auto">
            <a:xfrm>
              <a:off x="537" y="140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" name="Line 3058"/>
            <xdr:cNvSpPr>
              <a:spLocks noChangeShapeType="1"/>
            </xdr:cNvSpPr>
          </xdr:nvSpPr>
          <xdr:spPr bwMode="auto">
            <a:xfrm flipH="1">
              <a:off x="523" y="136"/>
              <a:ext cx="0" cy="40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2" name="Oval 3059"/>
            <xdr:cNvSpPr>
              <a:spLocks noChangeArrowheads="1"/>
            </xdr:cNvSpPr>
          </xdr:nvSpPr>
          <xdr:spPr bwMode="auto">
            <a:xfrm>
              <a:off x="523" y="533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3" name="Line 3060"/>
            <xdr:cNvSpPr>
              <a:spLocks noChangeShapeType="1"/>
            </xdr:cNvSpPr>
          </xdr:nvSpPr>
          <xdr:spPr bwMode="auto">
            <a:xfrm>
              <a:off x="445" y="117"/>
              <a:ext cx="167" cy="103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4" name="AutoShape 3061"/>
            <xdr:cNvSpPr>
              <a:spLocks noChangeArrowheads="1"/>
            </xdr:cNvSpPr>
          </xdr:nvSpPr>
          <xdr:spPr bwMode="auto">
            <a:xfrm rot="194008">
              <a:off x="492" y="303"/>
              <a:ext cx="71" cy="8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6085 w 21600"/>
                <a:gd name="T13" fmla="*/ 6028 h 21600"/>
                <a:gd name="T14" fmla="*/ 15515 w 21600"/>
                <a:gd name="T15" fmla="*/ 1557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8556" y="21600"/>
                  </a:lnTo>
                  <a:lnTo>
                    <a:pt x="13044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85" name="Group 3062"/>
            <xdr:cNvGrpSpPr>
              <a:grpSpLocks/>
            </xdr:cNvGrpSpPr>
          </xdr:nvGrpSpPr>
          <xdr:grpSpPr bwMode="auto">
            <a:xfrm>
              <a:off x="519" y="120"/>
              <a:ext cx="172" cy="166"/>
              <a:chOff x="675" y="163"/>
              <a:chExt cx="216" cy="206"/>
            </a:xfrm>
          </xdr:grpSpPr>
          <xdr:sp macro="" textlink="">
            <xdr:nvSpPr>
              <xdr:cNvPr id="186" name="AutoShape 3063"/>
              <xdr:cNvSpPr>
                <a:spLocks noChangeArrowheads="1"/>
              </xdr:cNvSpPr>
            </xdr:nvSpPr>
            <xdr:spPr bwMode="auto">
              <a:xfrm rot="3680998">
                <a:off x="660" y="178"/>
                <a:ext cx="199" cy="169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48 w 21600"/>
                  <a:gd name="T19" fmla="*/ 3195 h 21600"/>
                  <a:gd name="T20" fmla="*/ 18452 w 21600"/>
                  <a:gd name="T21" fmla="*/ 18405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7" name="AutoShape 3064"/>
              <xdr:cNvSpPr>
                <a:spLocks noChangeArrowheads="1"/>
              </xdr:cNvSpPr>
            </xdr:nvSpPr>
            <xdr:spPr bwMode="auto">
              <a:xfrm rot="8199544" flipH="1">
                <a:off x="684" y="179"/>
                <a:ext cx="207" cy="190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30 w 21600"/>
                  <a:gd name="T19" fmla="*/ 3183 h 21600"/>
                  <a:gd name="T20" fmla="*/ 18470 w 21600"/>
                  <a:gd name="T21" fmla="*/ 18417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 editAs="oneCell">
    <xdr:from>
      <xdr:col>2</xdr:col>
      <xdr:colOff>884464</xdr:colOff>
      <xdr:row>67</xdr:row>
      <xdr:rowOff>37565</xdr:rowOff>
    </xdr:from>
    <xdr:to>
      <xdr:col>2</xdr:col>
      <xdr:colOff>1179739</xdr:colOff>
      <xdr:row>67</xdr:row>
      <xdr:rowOff>465204</xdr:rowOff>
    </xdr:to>
    <xdr:pic>
      <xdr:nvPicPr>
        <xdr:cNvPr id="188" name="Immagine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0" y="16311708"/>
          <a:ext cx="295275" cy="427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39" name="Line 10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0" name="Line 11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1" name="Line 12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3" name="Line 14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4" name="Line 15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5" name="Line 16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3346" name="Line 17"/>
        <xdr:cNvSpPr>
          <a:spLocks noChangeShapeType="1"/>
        </xdr:cNvSpPr>
      </xdr:nvSpPr>
      <xdr:spPr bwMode="auto">
        <a:xfrm flipH="1">
          <a:off x="1744980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34</xdr:row>
      <xdr:rowOff>0</xdr:rowOff>
    </xdr:from>
    <xdr:to>
      <xdr:col>16</xdr:col>
      <xdr:colOff>752475</xdr:colOff>
      <xdr:row>34</xdr:row>
      <xdr:rowOff>0</xdr:rowOff>
    </xdr:to>
    <xdr:grpSp>
      <xdr:nvGrpSpPr>
        <xdr:cNvPr id="3347" name="Group 24"/>
        <xdr:cNvGrpSpPr>
          <a:grpSpLocks/>
        </xdr:cNvGrpSpPr>
      </xdr:nvGrpSpPr>
      <xdr:grpSpPr bwMode="auto">
        <a:xfrm>
          <a:off x="11459560" y="11342414"/>
          <a:ext cx="2268155" cy="0"/>
          <a:chOff x="622" y="1179"/>
          <a:chExt cx="80" cy="143"/>
        </a:xfrm>
      </xdr:grpSpPr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224873562825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224873562825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224873562825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114300</xdr:colOff>
      <xdr:row>34</xdr:row>
      <xdr:rowOff>0</xdr:rowOff>
    </xdr:from>
    <xdr:to>
      <xdr:col>11</xdr:col>
      <xdr:colOff>257175</xdr:colOff>
      <xdr:row>34</xdr:row>
      <xdr:rowOff>0</xdr:rowOff>
    </xdr:to>
    <xdr:grpSp>
      <xdr:nvGrpSpPr>
        <xdr:cNvPr id="3348" name="Group 219"/>
        <xdr:cNvGrpSpPr>
          <a:grpSpLocks/>
        </xdr:cNvGrpSpPr>
      </xdr:nvGrpSpPr>
      <xdr:grpSpPr bwMode="auto">
        <a:xfrm>
          <a:off x="9299903" y="11342414"/>
          <a:ext cx="887358" cy="0"/>
          <a:chOff x="622" y="1179"/>
          <a:chExt cx="80" cy="143"/>
        </a:xfrm>
      </xdr:grpSpPr>
      <xdr:sp macro="" textlink="">
        <xdr:nvSpPr>
          <xdr:cNvPr id="3293" name="Text Box 221"/>
          <xdr:cNvSpPr txBox="1">
            <a:spLocks noChangeArrowheads="1"/>
          </xdr:cNvSpPr>
        </xdr:nvSpPr>
        <xdr:spPr bwMode="auto">
          <a:xfrm>
            <a:off x="-5127238419967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294" name="Text Box 222"/>
          <xdr:cNvSpPr txBox="1">
            <a:spLocks noChangeArrowheads="1"/>
          </xdr:cNvSpPr>
        </xdr:nvSpPr>
        <xdr:spPr bwMode="auto">
          <a:xfrm>
            <a:off x="-5127238419967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3295" name="Text Box 223"/>
          <xdr:cNvSpPr txBox="1">
            <a:spLocks noChangeArrowheads="1"/>
          </xdr:cNvSpPr>
        </xdr:nvSpPr>
        <xdr:spPr bwMode="auto">
          <a:xfrm>
            <a:off x="5434015957545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152400</xdr:colOff>
      <xdr:row>34</xdr:row>
      <xdr:rowOff>0</xdr:rowOff>
    </xdr:from>
    <xdr:to>
      <xdr:col>11</xdr:col>
      <xdr:colOff>304800</xdr:colOff>
      <xdr:row>34</xdr:row>
      <xdr:rowOff>0</xdr:rowOff>
    </xdr:to>
    <xdr:grpSp>
      <xdr:nvGrpSpPr>
        <xdr:cNvPr id="3349" name="Group 224"/>
        <xdr:cNvGrpSpPr>
          <a:grpSpLocks/>
        </xdr:cNvGrpSpPr>
      </xdr:nvGrpSpPr>
      <xdr:grpSpPr bwMode="auto">
        <a:xfrm>
          <a:off x="9338003" y="11342414"/>
          <a:ext cx="896883" cy="0"/>
          <a:chOff x="622" y="1179"/>
          <a:chExt cx="80" cy="143"/>
        </a:xfrm>
      </xdr:grpSpPr>
      <xdr:sp macro="" textlink="">
        <xdr:nvSpPr>
          <xdr:cNvPr id="3298" name="Text Box 226"/>
          <xdr:cNvSpPr txBox="1">
            <a:spLocks noChangeArrowheads="1"/>
          </xdr:cNvSpPr>
        </xdr:nvSpPr>
        <xdr:spPr bwMode="auto">
          <a:xfrm>
            <a:off x="-1835347073520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299" name="Text Box 227"/>
          <xdr:cNvSpPr txBox="1">
            <a:spLocks noChangeArrowheads="1"/>
          </xdr:cNvSpPr>
        </xdr:nvSpPr>
        <xdr:spPr bwMode="auto">
          <a:xfrm>
            <a:off x="-1835347073520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3300" name="Text Box 228"/>
          <xdr:cNvSpPr txBox="1">
            <a:spLocks noChangeArrowheads="1"/>
          </xdr:cNvSpPr>
        </xdr:nvSpPr>
        <xdr:spPr bwMode="auto">
          <a:xfrm>
            <a:off x="-5551912907169" y="10325100"/>
            <a:ext cx="62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219075</xdr:colOff>
      <xdr:row>34</xdr:row>
      <xdr:rowOff>0</xdr:rowOff>
    </xdr:from>
    <xdr:to>
      <xdr:col>11</xdr:col>
      <xdr:colOff>285750</xdr:colOff>
      <xdr:row>34</xdr:row>
      <xdr:rowOff>0</xdr:rowOff>
    </xdr:to>
    <xdr:grpSp>
      <xdr:nvGrpSpPr>
        <xdr:cNvPr id="3350" name="Group 229"/>
        <xdr:cNvGrpSpPr>
          <a:grpSpLocks/>
        </xdr:cNvGrpSpPr>
      </xdr:nvGrpSpPr>
      <xdr:grpSpPr bwMode="auto">
        <a:xfrm>
          <a:off x="9404678" y="11342414"/>
          <a:ext cx="811158" cy="0"/>
          <a:chOff x="622" y="1179"/>
          <a:chExt cx="80" cy="143"/>
        </a:xfrm>
      </xdr:grpSpPr>
      <xdr:sp macro="" textlink="">
        <xdr:nvSpPr>
          <xdr:cNvPr id="3303" name="Text Box 231"/>
          <xdr:cNvSpPr txBox="1">
            <a:spLocks noChangeArrowheads="1"/>
          </xdr:cNvSpPr>
        </xdr:nvSpPr>
        <xdr:spPr bwMode="auto">
          <a:xfrm>
            <a:off x="1760863332758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304" name="Text Box 232"/>
          <xdr:cNvSpPr txBox="1">
            <a:spLocks noChangeArrowheads="1"/>
          </xdr:cNvSpPr>
        </xdr:nvSpPr>
        <xdr:spPr bwMode="auto">
          <a:xfrm>
            <a:off x="1760863332758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3305" name="Text Box 233"/>
          <xdr:cNvSpPr txBox="1">
            <a:spLocks noChangeArrowheads="1"/>
          </xdr:cNvSpPr>
        </xdr:nvSpPr>
        <xdr:spPr bwMode="auto">
          <a:xfrm>
            <a:off x="19725380888220" y="103251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171450</xdr:colOff>
      <xdr:row>34</xdr:row>
      <xdr:rowOff>0</xdr:rowOff>
    </xdr:from>
    <xdr:to>
      <xdr:col>11</xdr:col>
      <xdr:colOff>219075</xdr:colOff>
      <xdr:row>34</xdr:row>
      <xdr:rowOff>0</xdr:rowOff>
    </xdr:to>
    <xdr:grpSp>
      <xdr:nvGrpSpPr>
        <xdr:cNvPr id="3351" name="Group 234"/>
        <xdr:cNvGrpSpPr>
          <a:grpSpLocks/>
        </xdr:cNvGrpSpPr>
      </xdr:nvGrpSpPr>
      <xdr:grpSpPr bwMode="auto">
        <a:xfrm>
          <a:off x="9357053" y="11342414"/>
          <a:ext cx="792108" cy="0"/>
          <a:chOff x="622" y="328"/>
          <a:chExt cx="80" cy="143"/>
        </a:xfrm>
      </xdr:grpSpPr>
      <xdr:sp macro="" textlink="">
        <xdr:nvSpPr>
          <xdr:cNvPr id="3308" name="Text Box 236"/>
          <xdr:cNvSpPr txBox="1">
            <a:spLocks noChangeArrowheads="1"/>
          </xdr:cNvSpPr>
        </xdr:nvSpPr>
        <xdr:spPr bwMode="auto">
          <a:xfrm>
            <a:off x="-19508071670879" y="103251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309" name="Text Box 237"/>
          <xdr:cNvSpPr txBox="1">
            <a:spLocks noChangeArrowheads="1"/>
          </xdr:cNvSpPr>
        </xdr:nvSpPr>
        <xdr:spPr bwMode="auto">
          <a:xfrm>
            <a:off x="-19508071670879" y="103251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3310" name="Text Box 238"/>
          <xdr:cNvSpPr txBox="1">
            <a:spLocks noChangeArrowheads="1"/>
          </xdr:cNvSpPr>
        </xdr:nvSpPr>
        <xdr:spPr bwMode="auto">
          <a:xfrm>
            <a:off x="-84883266254" y="103251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171450</xdr:colOff>
      <xdr:row>34</xdr:row>
      <xdr:rowOff>0</xdr:rowOff>
    </xdr:from>
    <xdr:to>
      <xdr:col>11</xdr:col>
      <xdr:colOff>266700</xdr:colOff>
      <xdr:row>34</xdr:row>
      <xdr:rowOff>0</xdr:rowOff>
    </xdr:to>
    <xdr:grpSp>
      <xdr:nvGrpSpPr>
        <xdr:cNvPr id="3352" name="Group 239"/>
        <xdr:cNvGrpSpPr>
          <a:grpSpLocks/>
        </xdr:cNvGrpSpPr>
      </xdr:nvGrpSpPr>
      <xdr:grpSpPr bwMode="auto">
        <a:xfrm>
          <a:off x="9357053" y="11342414"/>
          <a:ext cx="839733" cy="0"/>
          <a:chOff x="622" y="328"/>
          <a:chExt cx="80" cy="143"/>
        </a:xfrm>
      </xdr:grpSpPr>
      <xdr:sp macro="" textlink="">
        <xdr:nvSpPr>
          <xdr:cNvPr id="3313" name="Text Box 241"/>
          <xdr:cNvSpPr txBox="1">
            <a:spLocks noChangeArrowheads="1"/>
          </xdr:cNvSpPr>
        </xdr:nvSpPr>
        <xdr:spPr bwMode="auto">
          <a:xfrm>
            <a:off x="14328806091160" y="103251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314" name="Text Box 242"/>
          <xdr:cNvSpPr txBox="1">
            <a:spLocks noChangeArrowheads="1"/>
          </xdr:cNvSpPr>
        </xdr:nvSpPr>
        <xdr:spPr bwMode="auto">
          <a:xfrm>
            <a:off x="14328806091160" y="103251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3315" name="Text Box 243"/>
          <xdr:cNvSpPr txBox="1">
            <a:spLocks noChangeArrowheads="1"/>
          </xdr:cNvSpPr>
        </xdr:nvSpPr>
        <xdr:spPr bwMode="auto">
          <a:xfrm>
            <a:off x="904854268809" y="10325100"/>
            <a:ext cx="57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247650</xdr:colOff>
      <xdr:row>34</xdr:row>
      <xdr:rowOff>0</xdr:rowOff>
    </xdr:from>
    <xdr:to>
      <xdr:col>11</xdr:col>
      <xdr:colOff>342900</xdr:colOff>
      <xdr:row>34</xdr:row>
      <xdr:rowOff>0</xdr:rowOff>
    </xdr:to>
    <xdr:grpSp>
      <xdr:nvGrpSpPr>
        <xdr:cNvPr id="3353" name="Group 244"/>
        <xdr:cNvGrpSpPr>
          <a:grpSpLocks/>
        </xdr:cNvGrpSpPr>
      </xdr:nvGrpSpPr>
      <xdr:grpSpPr bwMode="auto">
        <a:xfrm>
          <a:off x="9433253" y="11342414"/>
          <a:ext cx="839733" cy="0"/>
          <a:chOff x="622" y="328"/>
          <a:chExt cx="80" cy="143"/>
        </a:xfrm>
      </xdr:grpSpPr>
      <xdr:sp macro="" textlink="">
        <xdr:nvSpPr>
          <xdr:cNvPr id="3318" name="Text Box 246"/>
          <xdr:cNvSpPr txBox="1">
            <a:spLocks noChangeArrowheads="1"/>
          </xdr:cNvSpPr>
        </xdr:nvSpPr>
        <xdr:spPr bwMode="auto">
          <a:xfrm>
            <a:off x="1922016532515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319" name="Text Box 247"/>
          <xdr:cNvSpPr txBox="1">
            <a:spLocks noChangeArrowheads="1"/>
          </xdr:cNvSpPr>
        </xdr:nvSpPr>
        <xdr:spPr bwMode="auto">
          <a:xfrm>
            <a:off x="1922016532515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3320" name="Text Box 248"/>
          <xdr:cNvSpPr txBox="1">
            <a:spLocks noChangeArrowheads="1"/>
          </xdr:cNvSpPr>
        </xdr:nvSpPr>
        <xdr:spPr bwMode="auto">
          <a:xfrm>
            <a:off x="4776610992197" y="103251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219075</xdr:colOff>
      <xdr:row>34</xdr:row>
      <xdr:rowOff>0</xdr:rowOff>
    </xdr:from>
    <xdr:to>
      <xdr:col>13</xdr:col>
      <xdr:colOff>0</xdr:colOff>
      <xdr:row>34</xdr:row>
      <xdr:rowOff>0</xdr:rowOff>
    </xdr:to>
    <xdr:grpSp>
      <xdr:nvGrpSpPr>
        <xdr:cNvPr id="3354" name="Group 264"/>
        <xdr:cNvGrpSpPr>
          <a:grpSpLocks/>
        </xdr:cNvGrpSpPr>
      </xdr:nvGrpSpPr>
      <xdr:grpSpPr bwMode="auto">
        <a:xfrm>
          <a:off x="9404678" y="11342414"/>
          <a:ext cx="1959632" cy="0"/>
          <a:chOff x="622" y="553"/>
          <a:chExt cx="80" cy="143"/>
        </a:xfrm>
      </xdr:grpSpPr>
      <xdr:sp macro="" textlink="">
        <xdr:nvSpPr>
          <xdr:cNvPr id="2" name="Text Box 266"/>
          <xdr:cNvSpPr txBox="1">
            <a:spLocks noChangeArrowheads="1"/>
          </xdr:cNvSpPr>
        </xdr:nvSpPr>
        <xdr:spPr bwMode="auto">
          <a:xfrm>
            <a:off x="18356580000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" name="Text Box 267"/>
          <xdr:cNvSpPr txBox="1">
            <a:spLocks noChangeArrowheads="1"/>
          </xdr:cNvSpPr>
        </xdr:nvSpPr>
        <xdr:spPr bwMode="auto">
          <a:xfrm>
            <a:off x="18356580000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" name="Text Box 268"/>
          <xdr:cNvSpPr txBox="1">
            <a:spLocks noChangeArrowheads="1"/>
          </xdr:cNvSpPr>
        </xdr:nvSpPr>
        <xdr:spPr bwMode="auto">
          <a:xfrm>
            <a:off x="183565800000" y="103251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 editAs="oneCell">
    <xdr:from>
      <xdr:col>1</xdr:col>
      <xdr:colOff>142875</xdr:colOff>
      <xdr:row>1</xdr:row>
      <xdr:rowOff>127000</xdr:rowOff>
    </xdr:from>
    <xdr:to>
      <xdr:col>3</xdr:col>
      <xdr:colOff>531434</xdr:colOff>
      <xdr:row>1</xdr:row>
      <xdr:rowOff>1107114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396875"/>
          <a:ext cx="2460625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3</xdr:col>
      <xdr:colOff>317500</xdr:colOff>
      <xdr:row>68</xdr:row>
      <xdr:rowOff>8821</xdr:rowOff>
    </xdr:from>
    <xdr:to>
      <xdr:col>3</xdr:col>
      <xdr:colOff>1012976</xdr:colOff>
      <xdr:row>69</xdr:row>
      <xdr:rowOff>41461</xdr:rowOff>
    </xdr:to>
    <xdr:pic>
      <xdr:nvPicPr>
        <xdr:cNvPr id="43" name="Immagin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3969123"/>
          <a:ext cx="695476" cy="722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922263</xdr:colOff>
      <xdr:row>69</xdr:row>
      <xdr:rowOff>15119</xdr:rowOff>
    </xdr:from>
    <xdr:to>
      <xdr:col>3</xdr:col>
      <xdr:colOff>927425</xdr:colOff>
      <xdr:row>70</xdr:row>
      <xdr:rowOff>2</xdr:rowOff>
    </xdr:to>
    <xdr:pic>
      <xdr:nvPicPr>
        <xdr:cNvPr id="44" name="Immagine 4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4" y="23631071"/>
          <a:ext cx="1577543" cy="695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1118810</xdr:colOff>
      <xdr:row>71</xdr:row>
      <xdr:rowOff>30238</xdr:rowOff>
    </xdr:from>
    <xdr:to>
      <xdr:col>3</xdr:col>
      <xdr:colOff>1118810</xdr:colOff>
      <xdr:row>71</xdr:row>
      <xdr:rowOff>644216</xdr:rowOff>
    </xdr:to>
    <xdr:pic>
      <xdr:nvPicPr>
        <xdr:cNvPr id="45" name="Immagine 4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881" y="24885952"/>
          <a:ext cx="1572381" cy="613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1088572</xdr:colOff>
      <xdr:row>70</xdr:row>
      <xdr:rowOff>116065</xdr:rowOff>
    </xdr:from>
    <xdr:to>
      <xdr:col>3</xdr:col>
      <xdr:colOff>1043215</xdr:colOff>
      <xdr:row>71</xdr:row>
      <xdr:rowOff>24586</xdr:rowOff>
    </xdr:to>
    <xdr:pic>
      <xdr:nvPicPr>
        <xdr:cNvPr id="46" name="Immagine 4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643" y="25032255"/>
          <a:ext cx="1527024" cy="72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394074</xdr:colOff>
      <xdr:row>1</xdr:row>
      <xdr:rowOff>124198</xdr:rowOff>
    </xdr:from>
    <xdr:to>
      <xdr:col>15</xdr:col>
      <xdr:colOff>213401</xdr:colOff>
      <xdr:row>1</xdr:row>
      <xdr:rowOff>1104312</xdr:rowOff>
    </xdr:to>
    <xdr:pic>
      <xdr:nvPicPr>
        <xdr:cNvPr id="4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1721" y="404345"/>
          <a:ext cx="244203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1" name="Line 10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2" name="Line 11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3" name="Line 12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4" name="Line 13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5" name="Line 14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6" name="Line 15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7" name="Line 16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107088" name="Line 17"/>
        <xdr:cNvSpPr>
          <a:spLocks noChangeShapeType="1"/>
        </xdr:cNvSpPr>
      </xdr:nvSpPr>
      <xdr:spPr bwMode="auto">
        <a:xfrm flipH="1">
          <a:off x="1436370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104775</xdr:colOff>
      <xdr:row>163</xdr:row>
      <xdr:rowOff>0</xdr:rowOff>
    </xdr:from>
    <xdr:to>
      <xdr:col>14</xdr:col>
      <xdr:colOff>0</xdr:colOff>
      <xdr:row>163</xdr:row>
      <xdr:rowOff>0</xdr:rowOff>
    </xdr:to>
    <xdr:grpSp>
      <xdr:nvGrpSpPr>
        <xdr:cNvPr id="107089" name="Group 24"/>
        <xdr:cNvGrpSpPr>
          <a:grpSpLocks/>
        </xdr:cNvGrpSpPr>
      </xdr:nvGrpSpPr>
      <xdr:grpSpPr bwMode="auto">
        <a:xfrm>
          <a:off x="13919020" y="53675472"/>
          <a:ext cx="590131" cy="0"/>
          <a:chOff x="622" y="1179"/>
          <a:chExt cx="80" cy="143"/>
        </a:xfrm>
      </xdr:grpSpPr>
      <xdr:sp macro="" textlink="">
        <xdr:nvSpPr>
          <xdr:cNvPr id="11" name="Text Box 26"/>
          <xdr:cNvSpPr txBox="1">
            <a:spLocks noChangeArrowheads="1"/>
          </xdr:cNvSpPr>
        </xdr:nvSpPr>
        <xdr:spPr bwMode="auto">
          <a:xfrm>
            <a:off x="5138822539200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12" name="Text Box 27"/>
          <xdr:cNvSpPr txBox="1">
            <a:spLocks noChangeArrowheads="1"/>
          </xdr:cNvSpPr>
        </xdr:nvSpPr>
        <xdr:spPr bwMode="auto">
          <a:xfrm>
            <a:off x="5138822539200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13" name="Text Box 28"/>
          <xdr:cNvSpPr txBox="1">
            <a:spLocks noChangeArrowheads="1"/>
          </xdr:cNvSpPr>
        </xdr:nvSpPr>
        <xdr:spPr bwMode="auto">
          <a:xfrm>
            <a:off x="155055046125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114300</xdr:colOff>
      <xdr:row>145</xdr:row>
      <xdr:rowOff>0</xdr:rowOff>
    </xdr:from>
    <xdr:to>
      <xdr:col>11</xdr:col>
      <xdr:colOff>257175</xdr:colOff>
      <xdr:row>145</xdr:row>
      <xdr:rowOff>0</xdr:rowOff>
    </xdr:to>
    <xdr:grpSp>
      <xdr:nvGrpSpPr>
        <xdr:cNvPr id="107090" name="Group 219"/>
        <xdr:cNvGrpSpPr>
          <a:grpSpLocks/>
        </xdr:cNvGrpSpPr>
      </xdr:nvGrpSpPr>
      <xdr:grpSpPr bwMode="auto">
        <a:xfrm>
          <a:off x="12335055" y="46678491"/>
          <a:ext cx="897686" cy="0"/>
          <a:chOff x="622" y="1179"/>
          <a:chExt cx="80" cy="143"/>
        </a:xfrm>
      </xdr:grpSpPr>
      <xdr:sp macro="" textlink="">
        <xdr:nvSpPr>
          <xdr:cNvPr id="4317" name="Text Box 221"/>
          <xdr:cNvSpPr txBox="1">
            <a:spLocks noChangeArrowheads="1"/>
          </xdr:cNvSpPr>
        </xdr:nvSpPr>
        <xdr:spPr bwMode="auto">
          <a:xfrm>
            <a:off x="14185179597235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18" name="Text Box 222"/>
          <xdr:cNvSpPr txBox="1">
            <a:spLocks noChangeArrowheads="1"/>
          </xdr:cNvSpPr>
        </xdr:nvSpPr>
        <xdr:spPr bwMode="auto">
          <a:xfrm>
            <a:off x="14185179597235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319" name="Text Box 223"/>
          <xdr:cNvSpPr txBox="1">
            <a:spLocks noChangeArrowheads="1"/>
          </xdr:cNvSpPr>
        </xdr:nvSpPr>
        <xdr:spPr bwMode="auto">
          <a:xfrm>
            <a:off x="11830093533985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152400</xdr:colOff>
      <xdr:row>145</xdr:row>
      <xdr:rowOff>0</xdr:rowOff>
    </xdr:from>
    <xdr:to>
      <xdr:col>11</xdr:col>
      <xdr:colOff>295275</xdr:colOff>
      <xdr:row>145</xdr:row>
      <xdr:rowOff>0</xdr:rowOff>
    </xdr:to>
    <xdr:grpSp>
      <xdr:nvGrpSpPr>
        <xdr:cNvPr id="107091" name="Group 224"/>
        <xdr:cNvGrpSpPr>
          <a:grpSpLocks/>
        </xdr:cNvGrpSpPr>
      </xdr:nvGrpSpPr>
      <xdr:grpSpPr bwMode="auto">
        <a:xfrm>
          <a:off x="12373155" y="46678491"/>
          <a:ext cx="897686" cy="0"/>
          <a:chOff x="622" y="1179"/>
          <a:chExt cx="80" cy="143"/>
        </a:xfrm>
      </xdr:grpSpPr>
      <xdr:sp macro="" textlink="">
        <xdr:nvSpPr>
          <xdr:cNvPr id="4322" name="Text Box 226"/>
          <xdr:cNvSpPr txBox="1">
            <a:spLocks noChangeArrowheads="1"/>
          </xdr:cNvSpPr>
        </xdr:nvSpPr>
        <xdr:spPr bwMode="auto">
          <a:xfrm>
            <a:off x="-7439063204804" y="29070300"/>
            <a:ext cx="57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23" name="Text Box 227"/>
          <xdr:cNvSpPr txBox="1">
            <a:spLocks noChangeArrowheads="1"/>
          </xdr:cNvSpPr>
        </xdr:nvSpPr>
        <xdr:spPr bwMode="auto">
          <a:xfrm>
            <a:off x="-7439063204804" y="29070300"/>
            <a:ext cx="57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324" name="Text Box 228"/>
          <xdr:cNvSpPr txBox="1">
            <a:spLocks noChangeArrowheads="1"/>
          </xdr:cNvSpPr>
        </xdr:nvSpPr>
        <xdr:spPr bwMode="auto">
          <a:xfrm>
            <a:off x="10439914145185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219075</xdr:colOff>
      <xdr:row>145</xdr:row>
      <xdr:rowOff>0</xdr:rowOff>
    </xdr:from>
    <xdr:to>
      <xdr:col>11</xdr:col>
      <xdr:colOff>285750</xdr:colOff>
      <xdr:row>145</xdr:row>
      <xdr:rowOff>0</xdr:rowOff>
    </xdr:to>
    <xdr:grpSp>
      <xdr:nvGrpSpPr>
        <xdr:cNvPr id="107092" name="Group 229"/>
        <xdr:cNvGrpSpPr>
          <a:grpSpLocks/>
        </xdr:cNvGrpSpPr>
      </xdr:nvGrpSpPr>
      <xdr:grpSpPr bwMode="auto">
        <a:xfrm>
          <a:off x="12439830" y="46678491"/>
          <a:ext cx="821486" cy="0"/>
          <a:chOff x="622" y="1179"/>
          <a:chExt cx="80" cy="143"/>
        </a:xfrm>
      </xdr:grpSpPr>
      <xdr:sp macro="" textlink="">
        <xdr:nvSpPr>
          <xdr:cNvPr id="4327" name="Text Box 231"/>
          <xdr:cNvSpPr txBox="1">
            <a:spLocks noChangeArrowheads="1"/>
          </xdr:cNvSpPr>
        </xdr:nvSpPr>
        <xdr:spPr bwMode="auto">
          <a:xfrm>
            <a:off x="1893234419933" y="290703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28" name="Text Box 232"/>
          <xdr:cNvSpPr txBox="1">
            <a:spLocks noChangeArrowheads="1"/>
          </xdr:cNvSpPr>
        </xdr:nvSpPr>
        <xdr:spPr bwMode="auto">
          <a:xfrm>
            <a:off x="1893234419933" y="290703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329" name="Text Box 233"/>
          <xdr:cNvSpPr txBox="1">
            <a:spLocks noChangeArrowheads="1"/>
          </xdr:cNvSpPr>
        </xdr:nvSpPr>
        <xdr:spPr bwMode="auto">
          <a:xfrm>
            <a:off x="-14714506993042" y="290703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171450</xdr:colOff>
      <xdr:row>145</xdr:row>
      <xdr:rowOff>0</xdr:rowOff>
    </xdr:from>
    <xdr:to>
      <xdr:col>11</xdr:col>
      <xdr:colOff>219075</xdr:colOff>
      <xdr:row>145</xdr:row>
      <xdr:rowOff>0</xdr:rowOff>
    </xdr:to>
    <xdr:grpSp>
      <xdr:nvGrpSpPr>
        <xdr:cNvPr id="107093" name="Group 234"/>
        <xdr:cNvGrpSpPr>
          <a:grpSpLocks/>
        </xdr:cNvGrpSpPr>
      </xdr:nvGrpSpPr>
      <xdr:grpSpPr bwMode="auto">
        <a:xfrm>
          <a:off x="12392205" y="46678491"/>
          <a:ext cx="802436" cy="0"/>
          <a:chOff x="622" y="328"/>
          <a:chExt cx="80" cy="143"/>
        </a:xfrm>
      </xdr:grpSpPr>
      <xdr:sp macro="" textlink="">
        <xdr:nvSpPr>
          <xdr:cNvPr id="4332" name="Text Box 236"/>
          <xdr:cNvSpPr txBox="1">
            <a:spLocks noChangeArrowheads="1"/>
          </xdr:cNvSpPr>
        </xdr:nvSpPr>
        <xdr:spPr bwMode="auto">
          <a:xfrm>
            <a:off x="11780092813247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33" name="Text Box 237"/>
          <xdr:cNvSpPr txBox="1">
            <a:spLocks noChangeArrowheads="1"/>
          </xdr:cNvSpPr>
        </xdr:nvSpPr>
        <xdr:spPr bwMode="auto">
          <a:xfrm>
            <a:off x="11780092813247" y="29070300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334" name="Text Box 238"/>
          <xdr:cNvSpPr txBox="1">
            <a:spLocks noChangeArrowheads="1"/>
          </xdr:cNvSpPr>
        </xdr:nvSpPr>
        <xdr:spPr bwMode="auto">
          <a:xfrm>
            <a:off x="-14745647656568" y="29070300"/>
            <a:ext cx="6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171450</xdr:colOff>
      <xdr:row>145</xdr:row>
      <xdr:rowOff>0</xdr:rowOff>
    </xdr:from>
    <xdr:to>
      <xdr:col>11</xdr:col>
      <xdr:colOff>266700</xdr:colOff>
      <xdr:row>145</xdr:row>
      <xdr:rowOff>0</xdr:rowOff>
    </xdr:to>
    <xdr:grpSp>
      <xdr:nvGrpSpPr>
        <xdr:cNvPr id="107094" name="Group 239"/>
        <xdr:cNvGrpSpPr>
          <a:grpSpLocks/>
        </xdr:cNvGrpSpPr>
      </xdr:nvGrpSpPr>
      <xdr:grpSpPr bwMode="auto">
        <a:xfrm>
          <a:off x="12392205" y="46678491"/>
          <a:ext cx="850061" cy="0"/>
          <a:chOff x="622" y="328"/>
          <a:chExt cx="80" cy="143"/>
        </a:xfrm>
      </xdr:grpSpPr>
      <xdr:sp macro="" textlink="">
        <xdr:nvSpPr>
          <xdr:cNvPr id="4337" name="Text Box 241"/>
          <xdr:cNvSpPr txBox="1">
            <a:spLocks noChangeArrowheads="1"/>
          </xdr:cNvSpPr>
        </xdr:nvSpPr>
        <xdr:spPr bwMode="auto">
          <a:xfrm>
            <a:off x="-10718631947280" y="29070300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38" name="Text Box 242"/>
          <xdr:cNvSpPr txBox="1">
            <a:spLocks noChangeArrowheads="1"/>
          </xdr:cNvSpPr>
        </xdr:nvSpPr>
        <xdr:spPr bwMode="auto">
          <a:xfrm>
            <a:off x="-10718631947280" y="29070300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339" name="Text Box 243"/>
          <xdr:cNvSpPr txBox="1">
            <a:spLocks noChangeArrowheads="1"/>
          </xdr:cNvSpPr>
        </xdr:nvSpPr>
        <xdr:spPr bwMode="auto">
          <a:xfrm>
            <a:off x="15089297335920" y="29070300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247650</xdr:colOff>
      <xdr:row>145</xdr:row>
      <xdr:rowOff>0</xdr:rowOff>
    </xdr:from>
    <xdr:to>
      <xdr:col>11</xdr:col>
      <xdr:colOff>342900</xdr:colOff>
      <xdr:row>145</xdr:row>
      <xdr:rowOff>0</xdr:rowOff>
    </xdr:to>
    <xdr:grpSp>
      <xdr:nvGrpSpPr>
        <xdr:cNvPr id="107095" name="Group 244"/>
        <xdr:cNvGrpSpPr>
          <a:grpSpLocks/>
        </xdr:cNvGrpSpPr>
      </xdr:nvGrpSpPr>
      <xdr:grpSpPr bwMode="auto">
        <a:xfrm>
          <a:off x="12468405" y="46678491"/>
          <a:ext cx="850061" cy="0"/>
          <a:chOff x="622" y="328"/>
          <a:chExt cx="80" cy="143"/>
        </a:xfrm>
      </xdr:grpSpPr>
      <xdr:sp macro="" textlink="">
        <xdr:nvSpPr>
          <xdr:cNvPr id="4342" name="Text Box 246"/>
          <xdr:cNvSpPr txBox="1">
            <a:spLocks noChangeArrowheads="1"/>
          </xdr:cNvSpPr>
        </xdr:nvSpPr>
        <xdr:spPr bwMode="auto">
          <a:xfrm>
            <a:off x="16033841603484" y="290703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43" name="Text Box 247"/>
          <xdr:cNvSpPr txBox="1">
            <a:spLocks noChangeArrowheads="1"/>
          </xdr:cNvSpPr>
        </xdr:nvSpPr>
        <xdr:spPr bwMode="auto">
          <a:xfrm>
            <a:off x="16033841603484" y="29070300"/>
            <a:ext cx="58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344" name="Text Box 248"/>
          <xdr:cNvSpPr txBox="1">
            <a:spLocks noChangeArrowheads="1"/>
          </xdr:cNvSpPr>
        </xdr:nvSpPr>
        <xdr:spPr bwMode="auto">
          <a:xfrm>
            <a:off x="3261053275920" y="29070300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219075</xdr:colOff>
      <xdr:row>163</xdr:row>
      <xdr:rowOff>0</xdr:rowOff>
    </xdr:from>
    <xdr:to>
      <xdr:col>13</xdr:col>
      <xdr:colOff>0</xdr:colOff>
      <xdr:row>163</xdr:row>
      <xdr:rowOff>0</xdr:rowOff>
    </xdr:to>
    <xdr:grpSp>
      <xdr:nvGrpSpPr>
        <xdr:cNvPr id="107096" name="Group 264"/>
        <xdr:cNvGrpSpPr>
          <a:grpSpLocks/>
        </xdr:cNvGrpSpPr>
      </xdr:nvGrpSpPr>
      <xdr:grpSpPr bwMode="auto">
        <a:xfrm>
          <a:off x="12439830" y="53675472"/>
          <a:ext cx="1374415" cy="0"/>
          <a:chOff x="622" y="553"/>
          <a:chExt cx="80" cy="143"/>
        </a:xfrm>
      </xdr:grpSpPr>
      <xdr:sp macro="" textlink="">
        <xdr:nvSpPr>
          <xdr:cNvPr id="4362" name="Text Box 266"/>
          <xdr:cNvSpPr txBox="1">
            <a:spLocks noChangeArrowheads="1"/>
          </xdr:cNvSpPr>
        </xdr:nvSpPr>
        <xdr:spPr bwMode="auto">
          <a:xfrm>
            <a:off x="-11191035714150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363" name="Text Box 267"/>
          <xdr:cNvSpPr txBox="1">
            <a:spLocks noChangeArrowheads="1"/>
          </xdr:cNvSpPr>
        </xdr:nvSpPr>
        <xdr:spPr bwMode="auto">
          <a:xfrm>
            <a:off x="-11191035714150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364" name="Text Box 268"/>
          <xdr:cNvSpPr txBox="1">
            <a:spLocks noChangeArrowheads="1"/>
          </xdr:cNvSpPr>
        </xdr:nvSpPr>
        <xdr:spPr bwMode="auto">
          <a:xfrm>
            <a:off x="-11191035714150" y="313753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13</xdr:col>
      <xdr:colOff>104775</xdr:colOff>
      <xdr:row>167</xdr:row>
      <xdr:rowOff>0</xdr:rowOff>
    </xdr:from>
    <xdr:to>
      <xdr:col>14</xdr:col>
      <xdr:colOff>0</xdr:colOff>
      <xdr:row>167</xdr:row>
      <xdr:rowOff>0</xdr:rowOff>
    </xdr:to>
    <xdr:grpSp>
      <xdr:nvGrpSpPr>
        <xdr:cNvPr id="107098" name="Group 24"/>
        <xdr:cNvGrpSpPr>
          <a:grpSpLocks/>
        </xdr:cNvGrpSpPr>
      </xdr:nvGrpSpPr>
      <xdr:grpSpPr bwMode="auto">
        <a:xfrm>
          <a:off x="13919020" y="54370377"/>
          <a:ext cx="590131" cy="0"/>
          <a:chOff x="622" y="1179"/>
          <a:chExt cx="80" cy="143"/>
        </a:xfrm>
      </xdr:grpSpPr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5138822539200" y="320992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9" name="Text Box 27"/>
          <xdr:cNvSpPr txBox="1">
            <a:spLocks noChangeArrowheads="1"/>
          </xdr:cNvSpPr>
        </xdr:nvSpPr>
        <xdr:spPr bwMode="auto">
          <a:xfrm>
            <a:off x="5138822539200" y="320992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10" name="Text Box 28"/>
          <xdr:cNvSpPr txBox="1">
            <a:spLocks noChangeArrowheads="1"/>
          </xdr:cNvSpPr>
        </xdr:nvSpPr>
        <xdr:spPr bwMode="auto">
          <a:xfrm>
            <a:off x="155055046125" y="320992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104775</xdr:colOff>
      <xdr:row>174</xdr:row>
      <xdr:rowOff>0</xdr:rowOff>
    </xdr:from>
    <xdr:to>
      <xdr:col>14</xdr:col>
      <xdr:colOff>0</xdr:colOff>
      <xdr:row>174</xdr:row>
      <xdr:rowOff>0</xdr:rowOff>
    </xdr:to>
    <xdr:grpSp>
      <xdr:nvGrpSpPr>
        <xdr:cNvPr id="107099" name="Group 24"/>
        <xdr:cNvGrpSpPr>
          <a:grpSpLocks/>
        </xdr:cNvGrpSpPr>
      </xdr:nvGrpSpPr>
      <xdr:grpSpPr bwMode="auto">
        <a:xfrm>
          <a:off x="13919020" y="56574906"/>
          <a:ext cx="590131" cy="0"/>
          <a:chOff x="622" y="1179"/>
          <a:chExt cx="80" cy="143"/>
        </a:xfrm>
      </xdr:grpSpPr>
      <xdr:sp macro="" textlink="">
        <xdr:nvSpPr>
          <xdr:cNvPr id="5" name="Text Box 26"/>
          <xdr:cNvSpPr txBox="1">
            <a:spLocks noChangeArrowheads="1"/>
          </xdr:cNvSpPr>
        </xdr:nvSpPr>
        <xdr:spPr bwMode="auto">
          <a:xfrm>
            <a:off x="5138822539200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6" name="Text Box 27"/>
          <xdr:cNvSpPr txBox="1">
            <a:spLocks noChangeArrowheads="1"/>
          </xdr:cNvSpPr>
        </xdr:nvSpPr>
        <xdr:spPr bwMode="auto">
          <a:xfrm>
            <a:off x="5138822539200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7" name="Text Box 28"/>
          <xdr:cNvSpPr txBox="1">
            <a:spLocks noChangeArrowheads="1"/>
          </xdr:cNvSpPr>
        </xdr:nvSpPr>
        <xdr:spPr bwMode="auto">
          <a:xfrm>
            <a:off x="155055046125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104775</xdr:colOff>
      <xdr:row>178</xdr:row>
      <xdr:rowOff>0</xdr:rowOff>
    </xdr:from>
    <xdr:to>
      <xdr:col>14</xdr:col>
      <xdr:colOff>0</xdr:colOff>
      <xdr:row>178</xdr:row>
      <xdr:rowOff>0</xdr:rowOff>
    </xdr:to>
    <xdr:grpSp>
      <xdr:nvGrpSpPr>
        <xdr:cNvPr id="107100" name="Group 24"/>
        <xdr:cNvGrpSpPr>
          <a:grpSpLocks/>
        </xdr:cNvGrpSpPr>
      </xdr:nvGrpSpPr>
      <xdr:grpSpPr bwMode="auto">
        <a:xfrm>
          <a:off x="13919020" y="57677170"/>
          <a:ext cx="590131" cy="0"/>
          <a:chOff x="622" y="1179"/>
          <a:chExt cx="80" cy="143"/>
        </a:xfrm>
      </xdr:grpSpPr>
      <xdr:sp macro="" textlink="">
        <xdr:nvSpPr>
          <xdr:cNvPr id="2" name="Text Box 26"/>
          <xdr:cNvSpPr txBox="1">
            <a:spLocks noChangeArrowheads="1"/>
          </xdr:cNvSpPr>
        </xdr:nvSpPr>
        <xdr:spPr bwMode="auto">
          <a:xfrm>
            <a:off x="5138822539200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" name="Text Box 27"/>
          <xdr:cNvSpPr txBox="1">
            <a:spLocks noChangeArrowheads="1"/>
          </xdr:cNvSpPr>
        </xdr:nvSpPr>
        <xdr:spPr bwMode="auto">
          <a:xfrm>
            <a:off x="5138822539200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" name="Text Box 28"/>
          <xdr:cNvSpPr txBox="1">
            <a:spLocks noChangeArrowheads="1"/>
          </xdr:cNvSpPr>
        </xdr:nvSpPr>
        <xdr:spPr bwMode="auto">
          <a:xfrm>
            <a:off x="155055046125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104775</xdr:colOff>
      <xdr:row>187</xdr:row>
      <xdr:rowOff>0</xdr:rowOff>
    </xdr:from>
    <xdr:to>
      <xdr:col>14</xdr:col>
      <xdr:colOff>0</xdr:colOff>
      <xdr:row>187</xdr:row>
      <xdr:rowOff>0</xdr:rowOff>
    </xdr:to>
    <xdr:grpSp>
      <xdr:nvGrpSpPr>
        <xdr:cNvPr id="107101" name="Group 24"/>
        <xdr:cNvGrpSpPr>
          <a:grpSpLocks/>
        </xdr:cNvGrpSpPr>
      </xdr:nvGrpSpPr>
      <xdr:grpSpPr bwMode="auto">
        <a:xfrm>
          <a:off x="13265150" y="58562875"/>
          <a:ext cx="561975" cy="0"/>
          <a:chOff x="622" y="1179"/>
          <a:chExt cx="80" cy="143"/>
        </a:xfrm>
      </xdr:grpSpPr>
      <xdr:sp macro="" textlink="">
        <xdr:nvSpPr>
          <xdr:cNvPr id="4122" name="Text Box 26"/>
          <xdr:cNvSpPr txBox="1">
            <a:spLocks noChangeArrowheads="1"/>
          </xdr:cNvSpPr>
        </xdr:nvSpPr>
        <xdr:spPr bwMode="auto">
          <a:xfrm>
            <a:off x="5138822539200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123" name="Text Box 27"/>
          <xdr:cNvSpPr txBox="1">
            <a:spLocks noChangeArrowheads="1"/>
          </xdr:cNvSpPr>
        </xdr:nvSpPr>
        <xdr:spPr bwMode="auto">
          <a:xfrm>
            <a:off x="5138822539200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155055046125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182</xdr:row>
          <xdr:rowOff>0</xdr:rowOff>
        </xdr:from>
        <xdr:to>
          <xdr:col>14</xdr:col>
          <xdr:colOff>0</xdr:colOff>
          <xdr:row>182</xdr:row>
          <xdr:rowOff>0</xdr:rowOff>
        </xdr:to>
        <xdr:sp macro="" textlink="">
          <xdr:nvSpPr>
            <xdr:cNvPr id="107080" name="Object 2632" hidden="1">
              <a:extLst>
                <a:ext uri="{63B3BB69-23CF-44E3-9099-C40C66FF867C}">
                  <a14:compatExt spid="_x0000_s107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398319</xdr:colOff>
      <xdr:row>1</xdr:row>
      <xdr:rowOff>106711</xdr:rowOff>
    </xdr:from>
    <xdr:to>
      <xdr:col>2</xdr:col>
      <xdr:colOff>2409693</xdr:colOff>
      <xdr:row>1</xdr:row>
      <xdr:rowOff>1086825</xdr:rowOff>
    </xdr:to>
    <xdr:pic>
      <xdr:nvPicPr>
        <xdr:cNvPr id="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6" y="383802"/>
          <a:ext cx="246164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9</xdr:col>
      <xdr:colOff>138801</xdr:colOff>
      <xdr:row>1</xdr:row>
      <xdr:rowOff>121228</xdr:rowOff>
    </xdr:from>
    <xdr:to>
      <xdr:col>13</xdr:col>
      <xdr:colOff>433383</xdr:colOff>
      <xdr:row>1</xdr:row>
      <xdr:rowOff>1101342</xdr:rowOff>
    </xdr:to>
    <xdr:pic>
      <xdr:nvPicPr>
        <xdr:cNvPr id="6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4119" y="398319"/>
          <a:ext cx="244203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 flipH="1">
          <a:off x="1383030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104775</xdr:colOff>
      <xdr:row>64</xdr:row>
      <xdr:rowOff>0</xdr:rowOff>
    </xdr:from>
    <xdr:to>
      <xdr:col>14</xdr:col>
      <xdr:colOff>0</xdr:colOff>
      <xdr:row>64</xdr:row>
      <xdr:rowOff>0</xdr:rowOff>
    </xdr:to>
    <xdr:grpSp>
      <xdr:nvGrpSpPr>
        <xdr:cNvPr id="46" name="Group 24"/>
        <xdr:cNvGrpSpPr>
          <a:grpSpLocks/>
        </xdr:cNvGrpSpPr>
      </xdr:nvGrpSpPr>
      <xdr:grpSpPr bwMode="auto">
        <a:xfrm>
          <a:off x="13711918" y="19757571"/>
          <a:ext cx="593725" cy="0"/>
          <a:chOff x="622" y="1179"/>
          <a:chExt cx="80" cy="143"/>
        </a:xfrm>
      </xdr:grpSpPr>
      <xdr:sp macro="" textlink="">
        <xdr:nvSpPr>
          <xdr:cNvPr id="47" name="Text Box 26"/>
          <xdr:cNvSpPr txBox="1">
            <a:spLocks noChangeArrowheads="1"/>
          </xdr:cNvSpPr>
        </xdr:nvSpPr>
        <xdr:spPr bwMode="auto">
          <a:xfrm>
            <a:off x="5138822539200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48" name="Text Box 27"/>
          <xdr:cNvSpPr txBox="1">
            <a:spLocks noChangeArrowheads="1"/>
          </xdr:cNvSpPr>
        </xdr:nvSpPr>
        <xdr:spPr bwMode="auto">
          <a:xfrm>
            <a:off x="5138822539200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49" name="Text Box 28"/>
          <xdr:cNvSpPr txBox="1">
            <a:spLocks noChangeArrowheads="1"/>
          </xdr:cNvSpPr>
        </xdr:nvSpPr>
        <xdr:spPr bwMode="auto">
          <a:xfrm>
            <a:off x="155055046125" y="332232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104775</xdr:colOff>
      <xdr:row>68</xdr:row>
      <xdr:rowOff>0</xdr:rowOff>
    </xdr:from>
    <xdr:to>
      <xdr:col>14</xdr:col>
      <xdr:colOff>0</xdr:colOff>
      <xdr:row>68</xdr:row>
      <xdr:rowOff>0</xdr:rowOff>
    </xdr:to>
    <xdr:grpSp>
      <xdr:nvGrpSpPr>
        <xdr:cNvPr id="50" name="Group 24"/>
        <xdr:cNvGrpSpPr>
          <a:grpSpLocks/>
        </xdr:cNvGrpSpPr>
      </xdr:nvGrpSpPr>
      <xdr:grpSpPr bwMode="auto">
        <a:xfrm>
          <a:off x="13711918" y="20864286"/>
          <a:ext cx="593725" cy="0"/>
          <a:chOff x="622" y="1179"/>
          <a:chExt cx="80" cy="143"/>
        </a:xfrm>
      </xdr:grpSpPr>
      <xdr:sp macro="" textlink="">
        <xdr:nvSpPr>
          <xdr:cNvPr id="51" name="Text Box 26"/>
          <xdr:cNvSpPr txBox="1">
            <a:spLocks noChangeArrowheads="1"/>
          </xdr:cNvSpPr>
        </xdr:nvSpPr>
        <xdr:spPr bwMode="auto">
          <a:xfrm>
            <a:off x="5138822539200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52" name="Text Box 27"/>
          <xdr:cNvSpPr txBox="1">
            <a:spLocks noChangeArrowheads="1"/>
          </xdr:cNvSpPr>
        </xdr:nvSpPr>
        <xdr:spPr bwMode="auto">
          <a:xfrm>
            <a:off x="5138822539200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53" name="Text Box 28"/>
          <xdr:cNvSpPr txBox="1">
            <a:spLocks noChangeArrowheads="1"/>
          </xdr:cNvSpPr>
        </xdr:nvSpPr>
        <xdr:spPr bwMode="auto">
          <a:xfrm>
            <a:off x="155055046125" y="344138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13</xdr:col>
      <xdr:colOff>104775</xdr:colOff>
      <xdr:row>72</xdr:row>
      <xdr:rowOff>0</xdr:rowOff>
    </xdr:from>
    <xdr:to>
      <xdr:col>14</xdr:col>
      <xdr:colOff>0</xdr:colOff>
      <xdr:row>72</xdr:row>
      <xdr:rowOff>0</xdr:rowOff>
    </xdr:to>
    <xdr:grpSp>
      <xdr:nvGrpSpPr>
        <xdr:cNvPr id="54" name="Group 24"/>
        <xdr:cNvGrpSpPr>
          <a:grpSpLocks/>
        </xdr:cNvGrpSpPr>
      </xdr:nvGrpSpPr>
      <xdr:grpSpPr bwMode="auto">
        <a:xfrm>
          <a:off x="13099596" y="22002750"/>
          <a:ext cx="561975" cy="0"/>
          <a:chOff x="622" y="1179"/>
          <a:chExt cx="80" cy="143"/>
        </a:xfrm>
      </xdr:grpSpPr>
      <xdr:sp macro="" textlink="">
        <xdr:nvSpPr>
          <xdr:cNvPr id="55" name="Text Box 26"/>
          <xdr:cNvSpPr txBox="1">
            <a:spLocks noChangeArrowheads="1"/>
          </xdr:cNvSpPr>
        </xdr:nvSpPr>
        <xdr:spPr bwMode="auto">
          <a:xfrm>
            <a:off x="5138822539200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56" name="Text Box 27"/>
          <xdr:cNvSpPr txBox="1">
            <a:spLocks noChangeArrowheads="1"/>
          </xdr:cNvSpPr>
        </xdr:nvSpPr>
        <xdr:spPr bwMode="auto">
          <a:xfrm>
            <a:off x="5138822539200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57" name="Text Box 28"/>
          <xdr:cNvSpPr txBox="1">
            <a:spLocks noChangeArrowheads="1"/>
          </xdr:cNvSpPr>
        </xdr:nvSpPr>
        <xdr:spPr bwMode="auto">
          <a:xfrm>
            <a:off x="155055046125" y="354234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69</xdr:row>
          <xdr:rowOff>0</xdr:rowOff>
        </xdr:from>
        <xdr:to>
          <xdr:col>14</xdr:col>
          <xdr:colOff>0</xdr:colOff>
          <xdr:row>69</xdr:row>
          <xdr:rowOff>0</xdr:rowOff>
        </xdr:to>
        <xdr:sp macro="" textlink="">
          <xdr:nvSpPr>
            <xdr:cNvPr id="109569" name="Object 2632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398319</xdr:colOff>
      <xdr:row>1</xdr:row>
      <xdr:rowOff>106711</xdr:rowOff>
    </xdr:from>
    <xdr:to>
      <xdr:col>2</xdr:col>
      <xdr:colOff>2409693</xdr:colOff>
      <xdr:row>1</xdr:row>
      <xdr:rowOff>1086825</xdr:rowOff>
    </xdr:to>
    <xdr:pic>
      <xdr:nvPicPr>
        <xdr:cNvPr id="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644" y="382936"/>
          <a:ext cx="2459049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9</xdr:col>
      <xdr:colOff>138801</xdr:colOff>
      <xdr:row>1</xdr:row>
      <xdr:rowOff>121228</xdr:rowOff>
    </xdr:from>
    <xdr:to>
      <xdr:col>13</xdr:col>
      <xdr:colOff>322258</xdr:colOff>
      <xdr:row>1</xdr:row>
      <xdr:rowOff>1101342</xdr:rowOff>
    </xdr:to>
    <xdr:pic>
      <xdr:nvPicPr>
        <xdr:cNvPr id="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5851" y="397453"/>
          <a:ext cx="245675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7</xdr:col>
      <xdr:colOff>257175</xdr:colOff>
      <xdr:row>22</xdr:row>
      <xdr:rowOff>19050</xdr:rowOff>
    </xdr:from>
    <xdr:to>
      <xdr:col>7</xdr:col>
      <xdr:colOff>409575</xdr:colOff>
      <xdr:row>22</xdr:row>
      <xdr:rowOff>352425</xdr:rowOff>
    </xdr:to>
    <xdr:grpSp>
      <xdr:nvGrpSpPr>
        <xdr:cNvPr id="61" name="Group 3037"/>
        <xdr:cNvGrpSpPr>
          <a:grpSpLocks/>
        </xdr:cNvGrpSpPr>
      </xdr:nvGrpSpPr>
      <xdr:grpSpPr bwMode="auto">
        <a:xfrm>
          <a:off x="9963604" y="6795407"/>
          <a:ext cx="152400" cy="333375"/>
          <a:chOff x="320" y="21"/>
          <a:chExt cx="195" cy="504"/>
        </a:xfrm>
      </xdr:grpSpPr>
      <xdr:sp macro="" textlink="">
        <xdr:nvSpPr>
          <xdr:cNvPr id="62" name="Oval 3038"/>
          <xdr:cNvSpPr>
            <a:spLocks noChangeArrowheads="1"/>
          </xdr:cNvSpPr>
        </xdr:nvSpPr>
        <xdr:spPr bwMode="auto">
          <a:xfrm>
            <a:off x="320" y="21"/>
            <a:ext cx="170" cy="90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Oval 3039"/>
          <xdr:cNvSpPr>
            <a:spLocks noChangeArrowheads="1"/>
          </xdr:cNvSpPr>
        </xdr:nvSpPr>
        <xdr:spPr bwMode="auto">
          <a:xfrm>
            <a:off x="489" y="66"/>
            <a:ext cx="26" cy="16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Line 3040"/>
          <xdr:cNvSpPr>
            <a:spLocks noChangeShapeType="1"/>
          </xdr:cNvSpPr>
        </xdr:nvSpPr>
        <xdr:spPr bwMode="auto">
          <a:xfrm>
            <a:off x="401" y="114"/>
            <a:ext cx="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Line 3041"/>
          <xdr:cNvSpPr>
            <a:spLocks noChangeShapeType="1"/>
          </xdr:cNvSpPr>
        </xdr:nvSpPr>
        <xdr:spPr bwMode="auto">
          <a:xfrm flipH="1">
            <a:off x="384" y="110"/>
            <a:ext cx="0" cy="41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AutoShape 3042"/>
          <xdr:cNvSpPr>
            <a:spLocks noChangeArrowheads="1"/>
          </xdr:cNvSpPr>
        </xdr:nvSpPr>
        <xdr:spPr bwMode="auto">
          <a:xfrm rot="5400000">
            <a:off x="369" y="294"/>
            <a:ext cx="98" cy="68"/>
          </a:xfrm>
          <a:prstGeom prst="rtTriangle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7" name="Oval 3043"/>
          <xdr:cNvSpPr>
            <a:spLocks noChangeArrowheads="1"/>
          </xdr:cNvSpPr>
        </xdr:nvSpPr>
        <xdr:spPr bwMode="auto">
          <a:xfrm>
            <a:off x="383" y="511"/>
            <a:ext cx="71" cy="14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266700</xdr:colOff>
      <xdr:row>23</xdr:row>
      <xdr:rowOff>19050</xdr:rowOff>
    </xdr:from>
    <xdr:to>
      <xdr:col>7</xdr:col>
      <xdr:colOff>447675</xdr:colOff>
      <xdr:row>23</xdr:row>
      <xdr:rowOff>352425</xdr:rowOff>
    </xdr:to>
    <xdr:grpSp>
      <xdr:nvGrpSpPr>
        <xdr:cNvPr id="68" name="Group 3044"/>
        <xdr:cNvGrpSpPr>
          <a:grpSpLocks/>
        </xdr:cNvGrpSpPr>
      </xdr:nvGrpSpPr>
      <xdr:grpSpPr bwMode="auto">
        <a:xfrm>
          <a:off x="9973129" y="7194550"/>
          <a:ext cx="180975" cy="333375"/>
          <a:chOff x="26" y="220"/>
          <a:chExt cx="29" cy="80"/>
        </a:xfrm>
      </xdr:grpSpPr>
      <xdr:sp macro="" textlink="">
        <xdr:nvSpPr>
          <xdr:cNvPr id="69" name="Oval 3045"/>
          <xdr:cNvSpPr>
            <a:spLocks noChangeArrowheads="1"/>
          </xdr:cNvSpPr>
        </xdr:nvSpPr>
        <xdr:spPr bwMode="auto">
          <a:xfrm rot="1489486">
            <a:off x="32" y="220"/>
            <a:ext cx="21" cy="15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0" name="Oval 3046"/>
          <xdr:cNvSpPr>
            <a:spLocks noChangeArrowheads="1"/>
          </xdr:cNvSpPr>
        </xdr:nvSpPr>
        <xdr:spPr bwMode="auto">
          <a:xfrm rot="1489486">
            <a:off x="52" y="233"/>
            <a:ext cx="3" cy="2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Line 3047"/>
          <xdr:cNvSpPr>
            <a:spLocks noChangeShapeType="1"/>
          </xdr:cNvSpPr>
        </xdr:nvSpPr>
        <xdr:spPr bwMode="auto">
          <a:xfrm rot="1489486">
            <a:off x="40" y="234"/>
            <a:ext cx="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" name="Line 3048"/>
          <xdr:cNvSpPr>
            <a:spLocks noChangeShapeType="1"/>
          </xdr:cNvSpPr>
        </xdr:nvSpPr>
        <xdr:spPr bwMode="auto">
          <a:xfrm rot="1489486" flipH="1">
            <a:off x="32" y="232"/>
            <a:ext cx="0" cy="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3" name="AutoShape 3049"/>
          <xdr:cNvSpPr>
            <a:spLocks noChangeArrowheads="1"/>
          </xdr:cNvSpPr>
        </xdr:nvSpPr>
        <xdr:spPr bwMode="auto">
          <a:xfrm rot="5400000">
            <a:off x="22" y="263"/>
            <a:ext cx="17" cy="9"/>
          </a:xfrm>
          <a:prstGeom prst="rtTriangle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4" name="Oval 3050"/>
          <xdr:cNvSpPr>
            <a:spLocks noChangeArrowheads="1"/>
          </xdr:cNvSpPr>
        </xdr:nvSpPr>
        <xdr:spPr bwMode="auto">
          <a:xfrm>
            <a:off x="26" y="298"/>
            <a:ext cx="9" cy="2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5" name="Line 3051"/>
          <xdr:cNvSpPr>
            <a:spLocks noChangeShapeType="1"/>
          </xdr:cNvSpPr>
        </xdr:nvSpPr>
        <xdr:spPr bwMode="auto">
          <a:xfrm>
            <a:off x="26" y="276"/>
            <a:ext cx="0" cy="2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Line 3052"/>
          <xdr:cNvSpPr>
            <a:spLocks noChangeShapeType="1"/>
          </xdr:cNvSpPr>
        </xdr:nvSpPr>
        <xdr:spPr bwMode="auto">
          <a:xfrm>
            <a:off x="35" y="241"/>
            <a:ext cx="0" cy="1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Line 3053"/>
          <xdr:cNvSpPr>
            <a:spLocks noChangeShapeType="1"/>
          </xdr:cNvSpPr>
        </xdr:nvSpPr>
        <xdr:spPr bwMode="auto">
          <a:xfrm>
            <a:off x="35" y="253"/>
            <a:ext cx="1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238125</xdr:colOff>
      <xdr:row>24</xdr:row>
      <xdr:rowOff>0</xdr:rowOff>
    </xdr:from>
    <xdr:to>
      <xdr:col>7</xdr:col>
      <xdr:colOff>409575</xdr:colOff>
      <xdr:row>24</xdr:row>
      <xdr:rowOff>352425</xdr:rowOff>
    </xdr:to>
    <xdr:grpSp>
      <xdr:nvGrpSpPr>
        <xdr:cNvPr id="78" name="Group 3054"/>
        <xdr:cNvGrpSpPr>
          <a:grpSpLocks/>
        </xdr:cNvGrpSpPr>
      </xdr:nvGrpSpPr>
      <xdr:grpSpPr bwMode="auto">
        <a:xfrm>
          <a:off x="9944554" y="7592786"/>
          <a:ext cx="171450" cy="352425"/>
          <a:chOff x="445" y="3"/>
          <a:chExt cx="239" cy="516"/>
        </a:xfrm>
      </xdr:grpSpPr>
      <xdr:sp macro="" textlink="">
        <xdr:nvSpPr>
          <xdr:cNvPr id="79" name="AutoShape 3055"/>
          <xdr:cNvSpPr>
            <a:spLocks noChangeArrowheads="1"/>
          </xdr:cNvSpPr>
        </xdr:nvSpPr>
        <xdr:spPr bwMode="auto">
          <a:xfrm rot="1855128">
            <a:off x="523" y="3"/>
            <a:ext cx="68" cy="141"/>
          </a:xfrm>
          <a:prstGeom prst="smileyFace">
            <a:avLst>
              <a:gd name="adj" fmla="val 4653"/>
            </a:avLst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80" name="Group 3056"/>
          <xdr:cNvGrpSpPr>
            <a:grpSpLocks/>
          </xdr:cNvGrpSpPr>
        </xdr:nvGrpSpPr>
        <xdr:grpSpPr bwMode="auto">
          <a:xfrm>
            <a:off x="445" y="117"/>
            <a:ext cx="239" cy="402"/>
            <a:chOff x="445" y="117"/>
            <a:chExt cx="246" cy="430"/>
          </a:xfrm>
        </xdr:grpSpPr>
        <xdr:sp macro="" textlink="">
          <xdr:nvSpPr>
            <xdr:cNvPr id="81" name="Line 3057"/>
            <xdr:cNvSpPr>
              <a:spLocks noChangeShapeType="1"/>
            </xdr:cNvSpPr>
          </xdr:nvSpPr>
          <xdr:spPr bwMode="auto">
            <a:xfrm>
              <a:off x="537" y="140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2" name="Line 3058"/>
            <xdr:cNvSpPr>
              <a:spLocks noChangeShapeType="1"/>
            </xdr:cNvSpPr>
          </xdr:nvSpPr>
          <xdr:spPr bwMode="auto">
            <a:xfrm flipH="1">
              <a:off x="523" y="136"/>
              <a:ext cx="0" cy="40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3" name="Oval 3059"/>
            <xdr:cNvSpPr>
              <a:spLocks noChangeArrowheads="1"/>
            </xdr:cNvSpPr>
          </xdr:nvSpPr>
          <xdr:spPr bwMode="auto">
            <a:xfrm>
              <a:off x="523" y="533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4" name="Line 3060"/>
            <xdr:cNvSpPr>
              <a:spLocks noChangeShapeType="1"/>
            </xdr:cNvSpPr>
          </xdr:nvSpPr>
          <xdr:spPr bwMode="auto">
            <a:xfrm>
              <a:off x="445" y="117"/>
              <a:ext cx="167" cy="103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5" name="AutoShape 3061"/>
            <xdr:cNvSpPr>
              <a:spLocks noChangeArrowheads="1"/>
            </xdr:cNvSpPr>
          </xdr:nvSpPr>
          <xdr:spPr bwMode="auto">
            <a:xfrm rot="194008">
              <a:off x="492" y="303"/>
              <a:ext cx="71" cy="86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6085 w 21600"/>
                <a:gd name="T13" fmla="*/ 6028 h 21600"/>
                <a:gd name="T14" fmla="*/ 15515 w 21600"/>
                <a:gd name="T15" fmla="*/ 15572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8556" y="21600"/>
                  </a:lnTo>
                  <a:lnTo>
                    <a:pt x="13044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86" name="Group 3062"/>
            <xdr:cNvGrpSpPr>
              <a:grpSpLocks/>
            </xdr:cNvGrpSpPr>
          </xdr:nvGrpSpPr>
          <xdr:grpSpPr bwMode="auto">
            <a:xfrm>
              <a:off x="519" y="120"/>
              <a:ext cx="172" cy="166"/>
              <a:chOff x="675" y="163"/>
              <a:chExt cx="216" cy="206"/>
            </a:xfrm>
          </xdr:grpSpPr>
          <xdr:sp macro="" textlink="">
            <xdr:nvSpPr>
              <xdr:cNvPr id="87" name="AutoShape 3063"/>
              <xdr:cNvSpPr>
                <a:spLocks noChangeArrowheads="1"/>
              </xdr:cNvSpPr>
            </xdr:nvSpPr>
            <xdr:spPr bwMode="auto">
              <a:xfrm rot="3680998">
                <a:off x="660" y="178"/>
                <a:ext cx="199" cy="169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48 w 21600"/>
                  <a:gd name="T19" fmla="*/ 3195 h 21600"/>
                  <a:gd name="T20" fmla="*/ 18452 w 21600"/>
                  <a:gd name="T21" fmla="*/ 18405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88" name="AutoShape 3064"/>
              <xdr:cNvSpPr>
                <a:spLocks noChangeArrowheads="1"/>
              </xdr:cNvSpPr>
            </xdr:nvSpPr>
            <xdr:spPr bwMode="auto">
              <a:xfrm rot="8199544" flipH="1">
                <a:off x="684" y="179"/>
                <a:ext cx="207" cy="190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30 w 21600"/>
                  <a:gd name="T19" fmla="*/ 3183 h 21600"/>
                  <a:gd name="T20" fmla="*/ 18470 w 21600"/>
                  <a:gd name="T21" fmla="*/ 18417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257175</xdr:colOff>
      <xdr:row>25</xdr:row>
      <xdr:rowOff>9525</xdr:rowOff>
    </xdr:from>
    <xdr:to>
      <xdr:col>7</xdr:col>
      <xdr:colOff>438150</xdr:colOff>
      <xdr:row>25</xdr:row>
      <xdr:rowOff>352425</xdr:rowOff>
    </xdr:to>
    <xdr:grpSp>
      <xdr:nvGrpSpPr>
        <xdr:cNvPr id="89" name="Group 3065"/>
        <xdr:cNvGrpSpPr>
          <a:grpSpLocks/>
        </xdr:cNvGrpSpPr>
      </xdr:nvGrpSpPr>
      <xdr:grpSpPr bwMode="auto">
        <a:xfrm>
          <a:off x="9963604" y="8019596"/>
          <a:ext cx="180975" cy="342900"/>
          <a:chOff x="979" y="72"/>
          <a:chExt cx="296" cy="448"/>
        </a:xfrm>
      </xdr:grpSpPr>
      <xdr:sp macro="" textlink="">
        <xdr:nvSpPr>
          <xdr:cNvPr id="90" name="AutoShape 3066"/>
          <xdr:cNvSpPr>
            <a:spLocks noChangeArrowheads="1"/>
          </xdr:cNvSpPr>
        </xdr:nvSpPr>
        <xdr:spPr bwMode="auto">
          <a:xfrm rot="5400000">
            <a:off x="960" y="294"/>
            <a:ext cx="97" cy="57"/>
          </a:xfrm>
          <a:prstGeom prst="rtTriangle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1" name="Oval 3067"/>
          <xdr:cNvSpPr>
            <a:spLocks noChangeArrowheads="1"/>
          </xdr:cNvSpPr>
        </xdr:nvSpPr>
        <xdr:spPr bwMode="auto">
          <a:xfrm>
            <a:off x="979" y="504"/>
            <a:ext cx="59" cy="14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" name="Line 3068"/>
          <xdr:cNvSpPr>
            <a:spLocks noChangeShapeType="1"/>
          </xdr:cNvSpPr>
        </xdr:nvSpPr>
        <xdr:spPr bwMode="auto">
          <a:xfrm>
            <a:off x="980" y="372"/>
            <a:ext cx="0" cy="14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Oval 3069"/>
          <xdr:cNvSpPr>
            <a:spLocks noChangeArrowheads="1"/>
          </xdr:cNvSpPr>
        </xdr:nvSpPr>
        <xdr:spPr bwMode="auto">
          <a:xfrm rot="2364868">
            <a:off x="1174" y="123"/>
            <a:ext cx="98" cy="154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Oval 3070"/>
          <xdr:cNvSpPr>
            <a:spLocks noChangeArrowheads="1"/>
          </xdr:cNvSpPr>
        </xdr:nvSpPr>
        <xdr:spPr bwMode="auto">
          <a:xfrm rot="2364868">
            <a:off x="1250" y="229"/>
            <a:ext cx="16" cy="30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Line 3071"/>
          <xdr:cNvSpPr>
            <a:spLocks noChangeShapeType="1"/>
          </xdr:cNvSpPr>
        </xdr:nvSpPr>
        <xdr:spPr bwMode="auto">
          <a:xfrm rot="2364868">
            <a:off x="1193" y="279"/>
            <a:ext cx="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Freeform 3072"/>
          <xdr:cNvSpPr>
            <a:spLocks/>
          </xdr:cNvSpPr>
        </xdr:nvSpPr>
        <xdr:spPr bwMode="auto">
          <a:xfrm>
            <a:off x="982" y="143"/>
            <a:ext cx="193" cy="131"/>
          </a:xfrm>
          <a:custGeom>
            <a:avLst/>
            <a:gdLst>
              <a:gd name="T0" fmla="*/ 0 w 214"/>
              <a:gd name="T1" fmla="*/ 222 h 110"/>
              <a:gd name="T2" fmla="*/ 70 w 214"/>
              <a:gd name="T3" fmla="*/ 24 h 110"/>
              <a:gd name="T4" fmla="*/ 142 w 214"/>
              <a:gd name="T5" fmla="*/ 73 h 110"/>
              <a:gd name="T6" fmla="*/ 0 60000 65536"/>
              <a:gd name="T7" fmla="*/ 0 60000 65536"/>
              <a:gd name="T8" fmla="*/ 0 60000 65536"/>
              <a:gd name="T9" fmla="*/ 0 w 214"/>
              <a:gd name="T10" fmla="*/ 0 h 110"/>
              <a:gd name="T11" fmla="*/ 214 w 214"/>
              <a:gd name="T12" fmla="*/ 110 h 11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4" h="110">
                <a:moveTo>
                  <a:pt x="0" y="110"/>
                </a:moveTo>
                <a:cubicBezTo>
                  <a:pt x="35" y="67"/>
                  <a:pt x="70" y="24"/>
                  <a:pt x="106" y="12"/>
                </a:cubicBezTo>
                <a:cubicBezTo>
                  <a:pt x="142" y="0"/>
                  <a:pt x="192" y="30"/>
                  <a:pt x="214" y="36"/>
                </a:cubicBez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" name="Rectangle 3073"/>
          <xdr:cNvSpPr>
            <a:spLocks noChangeArrowheads="1"/>
          </xdr:cNvSpPr>
        </xdr:nvSpPr>
        <xdr:spPr bwMode="auto">
          <a:xfrm>
            <a:off x="1115" y="480"/>
            <a:ext cx="160" cy="4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8" name="Line 3074"/>
          <xdr:cNvSpPr>
            <a:spLocks noChangeShapeType="1"/>
          </xdr:cNvSpPr>
        </xdr:nvSpPr>
        <xdr:spPr bwMode="auto">
          <a:xfrm>
            <a:off x="1140" y="500"/>
            <a:ext cx="2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9" name="Line 3075"/>
          <xdr:cNvSpPr>
            <a:spLocks noChangeShapeType="1"/>
          </xdr:cNvSpPr>
        </xdr:nvSpPr>
        <xdr:spPr bwMode="auto">
          <a:xfrm>
            <a:off x="1223" y="503"/>
            <a:ext cx="2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0" name="Line 3076"/>
          <xdr:cNvSpPr>
            <a:spLocks noChangeShapeType="1"/>
          </xdr:cNvSpPr>
        </xdr:nvSpPr>
        <xdr:spPr bwMode="auto">
          <a:xfrm>
            <a:off x="1119" y="160"/>
            <a:ext cx="0" cy="16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Line 3077"/>
          <xdr:cNvSpPr>
            <a:spLocks noChangeShapeType="1"/>
          </xdr:cNvSpPr>
        </xdr:nvSpPr>
        <xdr:spPr bwMode="auto">
          <a:xfrm>
            <a:off x="1119" y="319"/>
            <a:ext cx="73" cy="11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AutoShape 3078"/>
          <xdr:cNvSpPr>
            <a:spLocks noChangeArrowheads="1"/>
          </xdr:cNvSpPr>
        </xdr:nvSpPr>
        <xdr:spPr bwMode="auto">
          <a:xfrm>
            <a:off x="1004" y="72"/>
            <a:ext cx="63" cy="80"/>
          </a:xfrm>
          <a:prstGeom prst="lightningBol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200025</xdr:colOff>
      <xdr:row>30</xdr:row>
      <xdr:rowOff>66675</xdr:rowOff>
    </xdr:from>
    <xdr:to>
      <xdr:col>7</xdr:col>
      <xdr:colOff>438150</xdr:colOff>
      <xdr:row>31</xdr:row>
      <xdr:rowOff>28575</xdr:rowOff>
    </xdr:to>
    <xdr:grpSp>
      <xdr:nvGrpSpPr>
        <xdr:cNvPr id="103" name="Group 3079"/>
        <xdr:cNvGrpSpPr>
          <a:grpSpLocks/>
        </xdr:cNvGrpSpPr>
      </xdr:nvGrpSpPr>
      <xdr:grpSpPr bwMode="auto">
        <a:xfrm>
          <a:off x="9906454" y="9265104"/>
          <a:ext cx="238125" cy="379185"/>
          <a:chOff x="16" y="423"/>
          <a:chExt cx="43" cy="77"/>
        </a:xfrm>
      </xdr:grpSpPr>
      <xdr:grpSp>
        <xdr:nvGrpSpPr>
          <xdr:cNvPr id="104" name="Group 3080"/>
          <xdr:cNvGrpSpPr>
            <a:grpSpLocks/>
          </xdr:cNvGrpSpPr>
        </xdr:nvGrpSpPr>
        <xdr:grpSpPr bwMode="auto">
          <a:xfrm>
            <a:off x="23" y="423"/>
            <a:ext cx="26" cy="48"/>
            <a:chOff x="1780" y="20"/>
            <a:chExt cx="162" cy="245"/>
          </a:xfrm>
        </xdr:grpSpPr>
        <xdr:sp macro="" textlink="">
          <xdr:nvSpPr>
            <xdr:cNvPr id="113" name="Oval 3081"/>
            <xdr:cNvSpPr>
              <a:spLocks noChangeArrowheads="1"/>
            </xdr:cNvSpPr>
          </xdr:nvSpPr>
          <xdr:spPr bwMode="auto">
            <a:xfrm>
              <a:off x="1780" y="20"/>
              <a:ext cx="141" cy="89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" name="Oval 3082"/>
            <xdr:cNvSpPr>
              <a:spLocks noChangeArrowheads="1"/>
            </xdr:cNvSpPr>
          </xdr:nvSpPr>
          <xdr:spPr bwMode="auto">
            <a:xfrm>
              <a:off x="1920" y="65"/>
              <a:ext cx="22" cy="15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" name="Line 3083"/>
            <xdr:cNvSpPr>
              <a:spLocks noChangeShapeType="1"/>
            </xdr:cNvSpPr>
          </xdr:nvSpPr>
          <xdr:spPr bwMode="auto">
            <a:xfrm>
              <a:off x="1847" y="112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6" name="Line 3084"/>
            <xdr:cNvSpPr>
              <a:spLocks noChangeShapeType="1"/>
            </xdr:cNvSpPr>
          </xdr:nvSpPr>
          <xdr:spPr bwMode="auto">
            <a:xfrm>
              <a:off x="1833" y="108"/>
              <a:ext cx="1" cy="15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05" name="Line 3085"/>
          <xdr:cNvSpPr>
            <a:spLocks noChangeShapeType="1"/>
          </xdr:cNvSpPr>
        </xdr:nvSpPr>
        <xdr:spPr bwMode="auto">
          <a:xfrm>
            <a:off x="28" y="446"/>
            <a:ext cx="0" cy="5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" name="Line 3086"/>
          <xdr:cNvSpPr>
            <a:spLocks noChangeShapeType="1"/>
          </xdr:cNvSpPr>
        </xdr:nvSpPr>
        <xdr:spPr bwMode="auto">
          <a:xfrm>
            <a:off x="28" y="473"/>
            <a:ext cx="1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3087"/>
          <xdr:cNvSpPr>
            <a:spLocks noChangeShapeType="1"/>
          </xdr:cNvSpPr>
        </xdr:nvSpPr>
        <xdr:spPr bwMode="auto">
          <a:xfrm>
            <a:off x="47" y="473"/>
            <a:ext cx="0" cy="2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" name="Arc 3088"/>
          <xdr:cNvSpPr>
            <a:spLocks/>
          </xdr:cNvSpPr>
        </xdr:nvSpPr>
        <xdr:spPr bwMode="auto">
          <a:xfrm rot="2072994">
            <a:off x="16" y="445"/>
            <a:ext cx="11" cy="40"/>
          </a:xfrm>
          <a:custGeom>
            <a:avLst/>
            <a:gdLst>
              <a:gd name="T0" fmla="*/ 0 w 17393"/>
              <a:gd name="T1" fmla="*/ 0 h 21600"/>
              <a:gd name="T2" fmla="*/ 0 w 17393"/>
              <a:gd name="T3" fmla="*/ 0 h 21600"/>
              <a:gd name="T4" fmla="*/ 0 w 17393"/>
              <a:gd name="T5" fmla="*/ 0 h 21600"/>
              <a:gd name="T6" fmla="*/ 0 60000 65536"/>
              <a:gd name="T7" fmla="*/ 0 60000 65536"/>
              <a:gd name="T8" fmla="*/ 0 60000 65536"/>
              <a:gd name="T9" fmla="*/ 0 w 17393"/>
              <a:gd name="T10" fmla="*/ 0 h 21600"/>
              <a:gd name="T11" fmla="*/ 17393 w 17393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393" h="21600" fill="none" extrusionOk="0">
                <a:moveTo>
                  <a:pt x="-1" y="0"/>
                </a:moveTo>
                <a:cubicBezTo>
                  <a:pt x="6865" y="0"/>
                  <a:pt x="13322" y="3263"/>
                  <a:pt x="17392" y="8792"/>
                </a:cubicBezTo>
              </a:path>
              <a:path w="17393" h="21600" stroke="0" extrusionOk="0">
                <a:moveTo>
                  <a:pt x="-1" y="0"/>
                </a:moveTo>
                <a:cubicBezTo>
                  <a:pt x="6865" y="0"/>
                  <a:pt x="13322" y="3263"/>
                  <a:pt x="17392" y="8792"/>
                </a:cubicBezTo>
                <a:lnTo>
                  <a:pt x="0" y="2160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09" name="Group 3089"/>
          <xdr:cNvGrpSpPr>
            <a:grpSpLocks/>
          </xdr:cNvGrpSpPr>
        </xdr:nvGrpSpPr>
        <xdr:grpSpPr bwMode="auto">
          <a:xfrm>
            <a:off x="49" y="471"/>
            <a:ext cx="10" cy="29"/>
            <a:chOff x="1985" y="373"/>
            <a:chExt cx="59" cy="146"/>
          </a:xfrm>
        </xdr:grpSpPr>
        <xdr:sp macro="" textlink="">
          <xdr:nvSpPr>
            <xdr:cNvPr id="111" name="Oval 3090"/>
            <xdr:cNvSpPr>
              <a:spLocks noChangeArrowheads="1"/>
            </xdr:cNvSpPr>
          </xdr:nvSpPr>
          <xdr:spPr bwMode="auto">
            <a:xfrm>
              <a:off x="1985" y="505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2" name="Line 3091"/>
            <xdr:cNvSpPr>
              <a:spLocks noChangeShapeType="1"/>
            </xdr:cNvSpPr>
          </xdr:nvSpPr>
          <xdr:spPr bwMode="auto">
            <a:xfrm>
              <a:off x="1986" y="373"/>
              <a:ext cx="0" cy="14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0" name="Line 3092"/>
          <xdr:cNvSpPr>
            <a:spLocks noChangeShapeType="1"/>
          </xdr:cNvSpPr>
        </xdr:nvSpPr>
        <xdr:spPr bwMode="auto">
          <a:xfrm>
            <a:off x="32" y="471"/>
            <a:ext cx="1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257175</xdr:colOff>
      <xdr:row>31</xdr:row>
      <xdr:rowOff>66675</xdr:rowOff>
    </xdr:from>
    <xdr:to>
      <xdr:col>7</xdr:col>
      <xdr:colOff>485775</xdr:colOff>
      <xdr:row>32</xdr:row>
      <xdr:rowOff>28575</xdr:rowOff>
    </xdr:to>
    <xdr:grpSp>
      <xdr:nvGrpSpPr>
        <xdr:cNvPr id="117" name="Group 3093"/>
        <xdr:cNvGrpSpPr>
          <a:grpSpLocks/>
        </xdr:cNvGrpSpPr>
      </xdr:nvGrpSpPr>
      <xdr:grpSpPr bwMode="auto">
        <a:xfrm>
          <a:off x="9963604" y="9682389"/>
          <a:ext cx="228600" cy="379186"/>
          <a:chOff x="26" y="523"/>
          <a:chExt cx="36" cy="76"/>
        </a:xfrm>
      </xdr:grpSpPr>
      <xdr:grpSp>
        <xdr:nvGrpSpPr>
          <xdr:cNvPr id="118" name="Group 3094"/>
          <xdr:cNvGrpSpPr>
            <a:grpSpLocks/>
          </xdr:cNvGrpSpPr>
        </xdr:nvGrpSpPr>
        <xdr:grpSpPr bwMode="auto">
          <a:xfrm>
            <a:off x="26" y="523"/>
            <a:ext cx="26" cy="47"/>
            <a:chOff x="1780" y="20"/>
            <a:chExt cx="162" cy="245"/>
          </a:xfrm>
        </xdr:grpSpPr>
        <xdr:sp macro="" textlink="">
          <xdr:nvSpPr>
            <xdr:cNvPr id="126" name="Oval 3095"/>
            <xdr:cNvSpPr>
              <a:spLocks noChangeArrowheads="1"/>
            </xdr:cNvSpPr>
          </xdr:nvSpPr>
          <xdr:spPr bwMode="auto">
            <a:xfrm>
              <a:off x="1780" y="20"/>
              <a:ext cx="141" cy="89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7" name="Oval 3096"/>
            <xdr:cNvSpPr>
              <a:spLocks noChangeArrowheads="1"/>
            </xdr:cNvSpPr>
          </xdr:nvSpPr>
          <xdr:spPr bwMode="auto">
            <a:xfrm>
              <a:off x="1920" y="65"/>
              <a:ext cx="22" cy="15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8" name="Line 3097"/>
            <xdr:cNvSpPr>
              <a:spLocks noChangeShapeType="1"/>
            </xdr:cNvSpPr>
          </xdr:nvSpPr>
          <xdr:spPr bwMode="auto">
            <a:xfrm>
              <a:off x="1847" y="112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9" name="Line 3098"/>
            <xdr:cNvSpPr>
              <a:spLocks noChangeShapeType="1"/>
            </xdr:cNvSpPr>
          </xdr:nvSpPr>
          <xdr:spPr bwMode="auto">
            <a:xfrm>
              <a:off x="1833" y="108"/>
              <a:ext cx="1" cy="15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9" name="Line 3099"/>
          <xdr:cNvSpPr>
            <a:spLocks noChangeShapeType="1"/>
          </xdr:cNvSpPr>
        </xdr:nvSpPr>
        <xdr:spPr bwMode="auto">
          <a:xfrm>
            <a:off x="30" y="572"/>
            <a:ext cx="0" cy="2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" name="Line 3100"/>
          <xdr:cNvSpPr>
            <a:spLocks noChangeShapeType="1"/>
          </xdr:cNvSpPr>
        </xdr:nvSpPr>
        <xdr:spPr bwMode="auto">
          <a:xfrm>
            <a:off x="30" y="572"/>
            <a:ext cx="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" name="Line 3101"/>
          <xdr:cNvSpPr>
            <a:spLocks noChangeShapeType="1"/>
          </xdr:cNvSpPr>
        </xdr:nvSpPr>
        <xdr:spPr bwMode="auto">
          <a:xfrm>
            <a:off x="50" y="572"/>
            <a:ext cx="0" cy="2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22" name="Group 3102"/>
          <xdr:cNvGrpSpPr>
            <a:grpSpLocks/>
          </xdr:cNvGrpSpPr>
        </xdr:nvGrpSpPr>
        <xdr:grpSpPr bwMode="auto">
          <a:xfrm>
            <a:off x="52" y="570"/>
            <a:ext cx="10" cy="29"/>
            <a:chOff x="1985" y="373"/>
            <a:chExt cx="59" cy="146"/>
          </a:xfrm>
        </xdr:grpSpPr>
        <xdr:sp macro="" textlink="">
          <xdr:nvSpPr>
            <xdr:cNvPr id="124" name="Oval 3103"/>
            <xdr:cNvSpPr>
              <a:spLocks noChangeArrowheads="1"/>
            </xdr:cNvSpPr>
          </xdr:nvSpPr>
          <xdr:spPr bwMode="auto">
            <a:xfrm>
              <a:off x="1985" y="505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5" name="Line 3104"/>
            <xdr:cNvSpPr>
              <a:spLocks noChangeShapeType="1"/>
            </xdr:cNvSpPr>
          </xdr:nvSpPr>
          <xdr:spPr bwMode="auto">
            <a:xfrm>
              <a:off x="1986" y="373"/>
              <a:ext cx="0" cy="14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23" name="Line 3105"/>
          <xdr:cNvSpPr>
            <a:spLocks noChangeShapeType="1"/>
          </xdr:cNvSpPr>
        </xdr:nvSpPr>
        <xdr:spPr bwMode="auto">
          <a:xfrm>
            <a:off x="35" y="570"/>
            <a:ext cx="1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285750</xdr:colOff>
      <xdr:row>32</xdr:row>
      <xdr:rowOff>66675</xdr:rowOff>
    </xdr:from>
    <xdr:to>
      <xdr:col>7</xdr:col>
      <xdr:colOff>419100</xdr:colOff>
      <xdr:row>33</xdr:row>
      <xdr:rowOff>28575</xdr:rowOff>
    </xdr:to>
    <xdr:grpSp>
      <xdr:nvGrpSpPr>
        <xdr:cNvPr id="130" name="Group 3106"/>
        <xdr:cNvGrpSpPr>
          <a:grpSpLocks/>
        </xdr:cNvGrpSpPr>
      </xdr:nvGrpSpPr>
      <xdr:grpSpPr bwMode="auto">
        <a:xfrm>
          <a:off x="9992179" y="10099675"/>
          <a:ext cx="133350" cy="379186"/>
          <a:chOff x="28" y="623"/>
          <a:chExt cx="38" cy="76"/>
        </a:xfrm>
      </xdr:grpSpPr>
      <xdr:sp macro="" textlink="">
        <xdr:nvSpPr>
          <xdr:cNvPr id="131" name="Oval 3107"/>
          <xdr:cNvSpPr>
            <a:spLocks noChangeArrowheads="1"/>
          </xdr:cNvSpPr>
        </xdr:nvSpPr>
        <xdr:spPr bwMode="auto">
          <a:xfrm rot="1489486">
            <a:off x="40" y="623"/>
            <a:ext cx="24" cy="18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" name="Oval 3108"/>
          <xdr:cNvSpPr>
            <a:spLocks noChangeArrowheads="1"/>
          </xdr:cNvSpPr>
        </xdr:nvSpPr>
        <xdr:spPr bwMode="auto">
          <a:xfrm rot="1489486">
            <a:off x="62" y="638"/>
            <a:ext cx="4" cy="3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" name="Line 3109"/>
          <xdr:cNvSpPr>
            <a:spLocks noChangeShapeType="1"/>
          </xdr:cNvSpPr>
        </xdr:nvSpPr>
        <xdr:spPr bwMode="auto">
          <a:xfrm rot="1489486">
            <a:off x="48" y="640"/>
            <a:ext cx="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" name="Line 3110"/>
          <xdr:cNvSpPr>
            <a:spLocks noChangeShapeType="1"/>
          </xdr:cNvSpPr>
        </xdr:nvSpPr>
        <xdr:spPr bwMode="auto">
          <a:xfrm rot="1489486" flipH="1">
            <a:off x="38" y="638"/>
            <a:ext cx="0" cy="3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Line 3111"/>
          <xdr:cNvSpPr>
            <a:spLocks noChangeShapeType="1"/>
          </xdr:cNvSpPr>
        </xdr:nvSpPr>
        <xdr:spPr bwMode="auto">
          <a:xfrm>
            <a:off x="42" y="648"/>
            <a:ext cx="0" cy="1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" name="Line 3112"/>
          <xdr:cNvSpPr>
            <a:spLocks noChangeShapeType="1"/>
          </xdr:cNvSpPr>
        </xdr:nvSpPr>
        <xdr:spPr bwMode="auto">
          <a:xfrm>
            <a:off x="42" y="662"/>
            <a:ext cx="1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" name="Line 3113"/>
          <xdr:cNvSpPr>
            <a:spLocks noChangeShapeType="1"/>
          </xdr:cNvSpPr>
        </xdr:nvSpPr>
        <xdr:spPr bwMode="auto">
          <a:xfrm>
            <a:off x="28" y="671"/>
            <a:ext cx="0" cy="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" name="Line 3114"/>
          <xdr:cNvSpPr>
            <a:spLocks noChangeShapeType="1"/>
          </xdr:cNvSpPr>
        </xdr:nvSpPr>
        <xdr:spPr bwMode="auto">
          <a:xfrm>
            <a:off x="28" y="671"/>
            <a:ext cx="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" name="Line 3115"/>
          <xdr:cNvSpPr>
            <a:spLocks noChangeShapeType="1"/>
          </xdr:cNvSpPr>
        </xdr:nvSpPr>
        <xdr:spPr bwMode="auto">
          <a:xfrm>
            <a:off x="49" y="671"/>
            <a:ext cx="0" cy="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40" name="Group 3116"/>
          <xdr:cNvGrpSpPr>
            <a:grpSpLocks/>
          </xdr:cNvGrpSpPr>
        </xdr:nvGrpSpPr>
        <xdr:grpSpPr bwMode="auto">
          <a:xfrm>
            <a:off x="52" y="669"/>
            <a:ext cx="10" cy="30"/>
            <a:chOff x="1985" y="373"/>
            <a:chExt cx="59" cy="146"/>
          </a:xfrm>
        </xdr:grpSpPr>
        <xdr:sp macro="" textlink="">
          <xdr:nvSpPr>
            <xdr:cNvPr id="142" name="Oval 3117"/>
            <xdr:cNvSpPr>
              <a:spLocks noChangeArrowheads="1"/>
            </xdr:cNvSpPr>
          </xdr:nvSpPr>
          <xdr:spPr bwMode="auto">
            <a:xfrm>
              <a:off x="1985" y="505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43" name="Line 3118"/>
            <xdr:cNvSpPr>
              <a:spLocks noChangeShapeType="1"/>
            </xdr:cNvSpPr>
          </xdr:nvSpPr>
          <xdr:spPr bwMode="auto">
            <a:xfrm>
              <a:off x="1986" y="373"/>
              <a:ext cx="0" cy="14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1" name="Line 3119"/>
          <xdr:cNvSpPr>
            <a:spLocks noChangeShapeType="1"/>
          </xdr:cNvSpPr>
        </xdr:nvSpPr>
        <xdr:spPr bwMode="auto">
          <a:xfrm>
            <a:off x="33" y="669"/>
            <a:ext cx="1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238125</xdr:colOff>
      <xdr:row>33</xdr:row>
      <xdr:rowOff>47625</xdr:rowOff>
    </xdr:from>
    <xdr:to>
      <xdr:col>7</xdr:col>
      <xdr:colOff>476250</xdr:colOff>
      <xdr:row>34</xdr:row>
      <xdr:rowOff>0</xdr:rowOff>
    </xdr:to>
    <xdr:grpSp>
      <xdr:nvGrpSpPr>
        <xdr:cNvPr id="144" name="Group 3120"/>
        <xdr:cNvGrpSpPr>
          <a:grpSpLocks/>
        </xdr:cNvGrpSpPr>
      </xdr:nvGrpSpPr>
      <xdr:grpSpPr bwMode="auto">
        <a:xfrm>
          <a:off x="9944554" y="10497911"/>
          <a:ext cx="238125" cy="369660"/>
          <a:chOff x="2630" y="87"/>
          <a:chExt cx="195" cy="431"/>
        </a:xfrm>
      </xdr:grpSpPr>
      <xdr:sp macro="" textlink="">
        <xdr:nvSpPr>
          <xdr:cNvPr id="145" name="Line 3121"/>
          <xdr:cNvSpPr>
            <a:spLocks noChangeShapeType="1"/>
          </xdr:cNvSpPr>
        </xdr:nvSpPr>
        <xdr:spPr bwMode="auto">
          <a:xfrm>
            <a:off x="2631" y="378"/>
            <a:ext cx="0" cy="13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" name="Line 3122"/>
          <xdr:cNvSpPr>
            <a:spLocks noChangeShapeType="1"/>
          </xdr:cNvSpPr>
        </xdr:nvSpPr>
        <xdr:spPr bwMode="auto">
          <a:xfrm>
            <a:off x="2630" y="378"/>
            <a:ext cx="123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" name="Line 3123"/>
          <xdr:cNvSpPr>
            <a:spLocks noChangeShapeType="1"/>
          </xdr:cNvSpPr>
        </xdr:nvSpPr>
        <xdr:spPr bwMode="auto">
          <a:xfrm>
            <a:off x="2751" y="378"/>
            <a:ext cx="0" cy="1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48" name="Group 3124"/>
          <xdr:cNvGrpSpPr>
            <a:grpSpLocks/>
          </xdr:cNvGrpSpPr>
        </xdr:nvGrpSpPr>
        <xdr:grpSpPr bwMode="auto">
          <a:xfrm>
            <a:off x="2766" y="369"/>
            <a:ext cx="59" cy="148"/>
            <a:chOff x="1985" y="373"/>
            <a:chExt cx="59" cy="146"/>
          </a:xfrm>
        </xdr:grpSpPr>
        <xdr:sp macro="" textlink="">
          <xdr:nvSpPr>
            <xdr:cNvPr id="159" name="Oval 3125"/>
            <xdr:cNvSpPr>
              <a:spLocks noChangeArrowheads="1"/>
            </xdr:cNvSpPr>
          </xdr:nvSpPr>
          <xdr:spPr bwMode="auto">
            <a:xfrm>
              <a:off x="1985" y="505"/>
              <a:ext cx="59" cy="1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0" name="Line 3126"/>
            <xdr:cNvSpPr>
              <a:spLocks noChangeShapeType="1"/>
            </xdr:cNvSpPr>
          </xdr:nvSpPr>
          <xdr:spPr bwMode="auto">
            <a:xfrm>
              <a:off x="1986" y="373"/>
              <a:ext cx="0" cy="14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9" name="Line 3127"/>
          <xdr:cNvSpPr>
            <a:spLocks noChangeShapeType="1"/>
          </xdr:cNvSpPr>
        </xdr:nvSpPr>
        <xdr:spPr bwMode="auto">
          <a:xfrm>
            <a:off x="2658" y="369"/>
            <a:ext cx="112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150" name="Group 3128"/>
          <xdr:cNvGrpSpPr>
            <a:grpSpLocks/>
          </xdr:cNvGrpSpPr>
        </xdr:nvGrpSpPr>
        <xdr:grpSpPr bwMode="auto">
          <a:xfrm>
            <a:off x="2646" y="87"/>
            <a:ext cx="172" cy="292"/>
            <a:chOff x="2622" y="36"/>
            <a:chExt cx="172" cy="292"/>
          </a:xfrm>
        </xdr:grpSpPr>
        <xdr:sp macro="" textlink="">
          <xdr:nvSpPr>
            <xdr:cNvPr id="151" name="Line 3129"/>
            <xdr:cNvSpPr>
              <a:spLocks noChangeShapeType="1"/>
            </xdr:cNvSpPr>
          </xdr:nvSpPr>
          <xdr:spPr bwMode="auto">
            <a:xfrm>
              <a:off x="2671" y="217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AutoShape 3130"/>
            <xdr:cNvSpPr>
              <a:spLocks noChangeArrowheads="1"/>
            </xdr:cNvSpPr>
          </xdr:nvSpPr>
          <xdr:spPr bwMode="auto">
            <a:xfrm rot="1577098">
              <a:off x="2686" y="36"/>
              <a:ext cx="71" cy="135"/>
            </a:xfrm>
            <a:prstGeom prst="smileyFace">
              <a:avLst>
                <a:gd name="adj" fmla="val 4653"/>
              </a:avLst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3" name="Line 3131"/>
            <xdr:cNvSpPr>
              <a:spLocks noChangeShapeType="1"/>
            </xdr:cNvSpPr>
          </xdr:nvSpPr>
          <xdr:spPr bwMode="auto">
            <a:xfrm rot="1208511">
              <a:off x="2700" y="171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4" name="Line 3132"/>
            <xdr:cNvSpPr>
              <a:spLocks noChangeShapeType="1"/>
            </xdr:cNvSpPr>
          </xdr:nvSpPr>
          <xdr:spPr bwMode="auto">
            <a:xfrm rot="1208511">
              <a:off x="2662" y="159"/>
              <a:ext cx="1" cy="169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5" name="Line 3133"/>
            <xdr:cNvSpPr>
              <a:spLocks noChangeShapeType="1"/>
            </xdr:cNvSpPr>
          </xdr:nvSpPr>
          <xdr:spPr bwMode="auto">
            <a:xfrm rot="1208511">
              <a:off x="2622" y="147"/>
              <a:ext cx="127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56" name="Group 3134"/>
            <xdr:cNvGrpSpPr>
              <a:grpSpLocks/>
            </xdr:cNvGrpSpPr>
          </xdr:nvGrpSpPr>
          <xdr:grpSpPr bwMode="auto">
            <a:xfrm rot="1208511">
              <a:off x="2663" y="168"/>
              <a:ext cx="131" cy="149"/>
              <a:chOff x="675" y="163"/>
              <a:chExt cx="216" cy="206"/>
            </a:xfrm>
          </xdr:grpSpPr>
          <xdr:sp macro="" textlink="">
            <xdr:nvSpPr>
              <xdr:cNvPr id="157" name="AutoShape 3135"/>
              <xdr:cNvSpPr>
                <a:spLocks noChangeArrowheads="1"/>
              </xdr:cNvSpPr>
            </xdr:nvSpPr>
            <xdr:spPr bwMode="auto">
              <a:xfrm rot="3680998">
                <a:off x="660" y="178"/>
                <a:ext cx="199" cy="169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48 w 21600"/>
                  <a:gd name="T19" fmla="*/ 3195 h 21600"/>
                  <a:gd name="T20" fmla="*/ 18452 w 21600"/>
                  <a:gd name="T21" fmla="*/ 18405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58" name="AutoShape 3136"/>
              <xdr:cNvSpPr>
                <a:spLocks noChangeArrowheads="1"/>
              </xdr:cNvSpPr>
            </xdr:nvSpPr>
            <xdr:spPr bwMode="auto">
              <a:xfrm rot="8199544" flipH="1">
                <a:off x="684" y="179"/>
                <a:ext cx="207" cy="190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3130 w 21600"/>
                  <a:gd name="T19" fmla="*/ 3183 h 21600"/>
                  <a:gd name="T20" fmla="*/ 18470 w 21600"/>
                  <a:gd name="T21" fmla="*/ 18417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21042" y="11103"/>
                    </a:moveTo>
                    <a:cubicBezTo>
                      <a:pt x="21045" y="11002"/>
                      <a:pt x="21047" y="10901"/>
                      <a:pt x="21047" y="10800"/>
                    </a:cubicBezTo>
                    <a:cubicBezTo>
                      <a:pt x="21047" y="5140"/>
                      <a:pt x="16459" y="553"/>
                      <a:pt x="10800" y="553"/>
                    </a:cubicBezTo>
                    <a:cubicBezTo>
                      <a:pt x="9964" y="552"/>
                      <a:pt x="9131" y="655"/>
                      <a:pt x="8320" y="857"/>
                    </a:cubicBezTo>
                    <a:lnTo>
                      <a:pt x="8186" y="320"/>
                    </a:lnTo>
                    <a:cubicBezTo>
                      <a:pt x="9041" y="107"/>
                      <a:pt x="9919" y="-1"/>
                      <a:pt x="10800" y="0"/>
                    </a:cubicBezTo>
                    <a:cubicBezTo>
                      <a:pt x="16764" y="0"/>
                      <a:pt x="21600" y="4835"/>
                      <a:pt x="21600" y="10800"/>
                    </a:cubicBezTo>
                    <a:cubicBezTo>
                      <a:pt x="21600" y="10906"/>
                      <a:pt x="21598" y="11013"/>
                      <a:pt x="21595" y="11120"/>
                    </a:cubicBezTo>
                    <a:lnTo>
                      <a:pt x="24294" y="11200"/>
                    </a:lnTo>
                    <a:lnTo>
                      <a:pt x="21230" y="14088"/>
                    </a:lnTo>
                    <a:lnTo>
                      <a:pt x="18343" y="11023"/>
                    </a:lnTo>
                    <a:lnTo>
                      <a:pt x="21042" y="11103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276225</xdr:colOff>
      <xdr:row>47</xdr:row>
      <xdr:rowOff>9525</xdr:rowOff>
    </xdr:from>
    <xdr:to>
      <xdr:col>7</xdr:col>
      <xdr:colOff>466725</xdr:colOff>
      <xdr:row>47</xdr:row>
      <xdr:rowOff>342900</xdr:rowOff>
    </xdr:to>
    <xdr:grpSp>
      <xdr:nvGrpSpPr>
        <xdr:cNvPr id="161" name="Group 3137"/>
        <xdr:cNvGrpSpPr>
          <a:grpSpLocks/>
        </xdr:cNvGrpSpPr>
      </xdr:nvGrpSpPr>
      <xdr:grpSpPr bwMode="auto">
        <a:xfrm>
          <a:off x="9982654" y="14759668"/>
          <a:ext cx="190500" cy="333375"/>
          <a:chOff x="200" y="941"/>
          <a:chExt cx="32" cy="76"/>
        </a:xfrm>
      </xdr:grpSpPr>
      <xdr:grpSp>
        <xdr:nvGrpSpPr>
          <xdr:cNvPr id="162" name="Group 3138"/>
          <xdr:cNvGrpSpPr>
            <a:grpSpLocks/>
          </xdr:cNvGrpSpPr>
        </xdr:nvGrpSpPr>
        <xdr:grpSpPr bwMode="auto">
          <a:xfrm>
            <a:off x="200" y="941"/>
            <a:ext cx="19" cy="47"/>
            <a:chOff x="1780" y="20"/>
            <a:chExt cx="162" cy="245"/>
          </a:xfrm>
        </xdr:grpSpPr>
        <xdr:sp macro="" textlink="">
          <xdr:nvSpPr>
            <xdr:cNvPr id="173" name="Oval 3139"/>
            <xdr:cNvSpPr>
              <a:spLocks noChangeArrowheads="1"/>
            </xdr:cNvSpPr>
          </xdr:nvSpPr>
          <xdr:spPr bwMode="auto">
            <a:xfrm>
              <a:off x="1780" y="20"/>
              <a:ext cx="141" cy="89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4" name="Oval 3140"/>
            <xdr:cNvSpPr>
              <a:spLocks noChangeArrowheads="1"/>
            </xdr:cNvSpPr>
          </xdr:nvSpPr>
          <xdr:spPr bwMode="auto">
            <a:xfrm>
              <a:off x="1920" y="65"/>
              <a:ext cx="22" cy="15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5" name="Line 3141"/>
            <xdr:cNvSpPr>
              <a:spLocks noChangeShapeType="1"/>
            </xdr:cNvSpPr>
          </xdr:nvSpPr>
          <xdr:spPr bwMode="auto">
            <a:xfrm>
              <a:off x="1847" y="112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6" name="Line 3142"/>
            <xdr:cNvSpPr>
              <a:spLocks noChangeShapeType="1"/>
            </xdr:cNvSpPr>
          </xdr:nvSpPr>
          <xdr:spPr bwMode="auto">
            <a:xfrm>
              <a:off x="1833" y="108"/>
              <a:ext cx="1" cy="15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63" name="Line 3143"/>
          <xdr:cNvSpPr>
            <a:spLocks noChangeShapeType="1"/>
          </xdr:cNvSpPr>
        </xdr:nvSpPr>
        <xdr:spPr bwMode="auto">
          <a:xfrm>
            <a:off x="203" y="963"/>
            <a:ext cx="0" cy="5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" name="Line 3144"/>
          <xdr:cNvSpPr>
            <a:spLocks noChangeShapeType="1"/>
          </xdr:cNvSpPr>
        </xdr:nvSpPr>
        <xdr:spPr bwMode="auto">
          <a:xfrm>
            <a:off x="203" y="989"/>
            <a:ext cx="1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3145"/>
          <xdr:cNvSpPr>
            <a:spLocks noChangeShapeType="1"/>
          </xdr:cNvSpPr>
        </xdr:nvSpPr>
        <xdr:spPr bwMode="auto">
          <a:xfrm>
            <a:off x="217" y="989"/>
            <a:ext cx="0" cy="2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" name="Oval 3146"/>
          <xdr:cNvSpPr>
            <a:spLocks noChangeArrowheads="1"/>
          </xdr:cNvSpPr>
        </xdr:nvSpPr>
        <xdr:spPr bwMode="auto">
          <a:xfrm>
            <a:off x="219" y="1013"/>
            <a:ext cx="6" cy="2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Line 3147"/>
          <xdr:cNvSpPr>
            <a:spLocks noChangeShapeType="1"/>
          </xdr:cNvSpPr>
        </xdr:nvSpPr>
        <xdr:spPr bwMode="auto">
          <a:xfrm>
            <a:off x="219" y="987"/>
            <a:ext cx="0" cy="2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" name="Line 3148"/>
          <xdr:cNvSpPr>
            <a:spLocks noChangeShapeType="1"/>
          </xdr:cNvSpPr>
        </xdr:nvSpPr>
        <xdr:spPr bwMode="auto">
          <a:xfrm>
            <a:off x="206" y="987"/>
            <a:ext cx="13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" name="Line 3149"/>
          <xdr:cNvSpPr>
            <a:spLocks noChangeShapeType="1"/>
          </xdr:cNvSpPr>
        </xdr:nvSpPr>
        <xdr:spPr bwMode="auto">
          <a:xfrm>
            <a:off x="217" y="981"/>
            <a:ext cx="15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" name="Line 3150"/>
          <xdr:cNvSpPr>
            <a:spLocks noChangeShapeType="1"/>
          </xdr:cNvSpPr>
        </xdr:nvSpPr>
        <xdr:spPr bwMode="auto">
          <a:xfrm>
            <a:off x="232" y="981"/>
            <a:ext cx="0" cy="36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" name="Line 3151"/>
          <xdr:cNvSpPr>
            <a:spLocks noChangeShapeType="1"/>
          </xdr:cNvSpPr>
        </xdr:nvSpPr>
        <xdr:spPr bwMode="auto">
          <a:xfrm>
            <a:off x="219" y="987"/>
            <a:ext cx="6" cy="28"/>
          </a:xfrm>
          <a:prstGeom prst="line">
            <a:avLst/>
          </a:prstGeom>
          <a:noFill/>
          <a:ln w="1270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2" name="Oval 3152"/>
          <xdr:cNvSpPr>
            <a:spLocks noChangeArrowheads="1"/>
          </xdr:cNvSpPr>
        </xdr:nvSpPr>
        <xdr:spPr bwMode="auto">
          <a:xfrm>
            <a:off x="225" y="1013"/>
            <a:ext cx="6" cy="3"/>
          </a:xfrm>
          <a:prstGeom prst="ellipse">
            <a:avLst/>
          </a:prstGeom>
          <a:solidFill>
            <a:srgbClr val="FFFFFF"/>
          </a:solidFill>
          <a:ln w="12700" cap="rnd">
            <a:solidFill>
              <a:srgbClr val="000000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7</xdr:col>
      <xdr:colOff>285750</xdr:colOff>
      <xdr:row>48</xdr:row>
      <xdr:rowOff>0</xdr:rowOff>
    </xdr:from>
    <xdr:to>
      <xdr:col>7</xdr:col>
      <xdr:colOff>466725</xdr:colOff>
      <xdr:row>48</xdr:row>
      <xdr:rowOff>342900</xdr:rowOff>
    </xdr:to>
    <xdr:grpSp>
      <xdr:nvGrpSpPr>
        <xdr:cNvPr id="177" name="Group 3153"/>
        <xdr:cNvGrpSpPr>
          <a:grpSpLocks/>
        </xdr:cNvGrpSpPr>
      </xdr:nvGrpSpPr>
      <xdr:grpSpPr bwMode="auto">
        <a:xfrm>
          <a:off x="9992179" y="15167429"/>
          <a:ext cx="180975" cy="342900"/>
          <a:chOff x="4791" y="133"/>
          <a:chExt cx="207" cy="411"/>
        </a:xfrm>
      </xdr:grpSpPr>
      <xdr:grpSp>
        <xdr:nvGrpSpPr>
          <xdr:cNvPr id="178" name="Group 3154"/>
          <xdr:cNvGrpSpPr>
            <a:grpSpLocks/>
          </xdr:cNvGrpSpPr>
        </xdr:nvGrpSpPr>
        <xdr:grpSpPr bwMode="auto">
          <a:xfrm>
            <a:off x="4791" y="133"/>
            <a:ext cx="162" cy="245"/>
            <a:chOff x="1780" y="20"/>
            <a:chExt cx="162" cy="245"/>
          </a:xfrm>
        </xdr:grpSpPr>
        <xdr:sp macro="" textlink="">
          <xdr:nvSpPr>
            <xdr:cNvPr id="187" name="Oval 3155"/>
            <xdr:cNvSpPr>
              <a:spLocks noChangeArrowheads="1"/>
            </xdr:cNvSpPr>
          </xdr:nvSpPr>
          <xdr:spPr bwMode="auto">
            <a:xfrm>
              <a:off x="1780" y="20"/>
              <a:ext cx="141" cy="89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8" name="Oval 3156"/>
            <xdr:cNvSpPr>
              <a:spLocks noChangeArrowheads="1"/>
            </xdr:cNvSpPr>
          </xdr:nvSpPr>
          <xdr:spPr bwMode="auto">
            <a:xfrm>
              <a:off x="1920" y="65"/>
              <a:ext cx="22" cy="15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9" name="Line 3157"/>
            <xdr:cNvSpPr>
              <a:spLocks noChangeShapeType="1"/>
            </xdr:cNvSpPr>
          </xdr:nvSpPr>
          <xdr:spPr bwMode="auto">
            <a:xfrm>
              <a:off x="1847" y="112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0" name="Line 3158"/>
            <xdr:cNvSpPr>
              <a:spLocks noChangeShapeType="1"/>
            </xdr:cNvSpPr>
          </xdr:nvSpPr>
          <xdr:spPr bwMode="auto">
            <a:xfrm>
              <a:off x="1833" y="108"/>
              <a:ext cx="1" cy="15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79" name="Line 3159"/>
          <xdr:cNvSpPr>
            <a:spLocks noChangeShapeType="1"/>
          </xdr:cNvSpPr>
        </xdr:nvSpPr>
        <xdr:spPr bwMode="auto">
          <a:xfrm>
            <a:off x="4798" y="264"/>
            <a:ext cx="0" cy="276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Line 3160"/>
          <xdr:cNvSpPr>
            <a:spLocks noChangeShapeType="1"/>
          </xdr:cNvSpPr>
        </xdr:nvSpPr>
        <xdr:spPr bwMode="auto">
          <a:xfrm>
            <a:off x="4797" y="401"/>
            <a:ext cx="1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1" name="Line 3161"/>
          <xdr:cNvSpPr>
            <a:spLocks noChangeShapeType="1"/>
          </xdr:cNvSpPr>
        </xdr:nvSpPr>
        <xdr:spPr bwMode="auto">
          <a:xfrm>
            <a:off x="4918" y="401"/>
            <a:ext cx="0" cy="1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2" name="Oval 3162"/>
          <xdr:cNvSpPr>
            <a:spLocks noChangeArrowheads="1"/>
          </xdr:cNvSpPr>
        </xdr:nvSpPr>
        <xdr:spPr bwMode="auto">
          <a:xfrm>
            <a:off x="4933" y="526"/>
            <a:ext cx="59" cy="14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Line 3163"/>
          <xdr:cNvSpPr>
            <a:spLocks noChangeShapeType="1"/>
          </xdr:cNvSpPr>
        </xdr:nvSpPr>
        <xdr:spPr bwMode="auto">
          <a:xfrm rot="809719">
            <a:off x="4933" y="409"/>
            <a:ext cx="14" cy="127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4" name="Line 3164"/>
          <xdr:cNvSpPr>
            <a:spLocks noChangeShapeType="1"/>
          </xdr:cNvSpPr>
        </xdr:nvSpPr>
        <xdr:spPr bwMode="auto">
          <a:xfrm rot="987105">
            <a:off x="4842" y="392"/>
            <a:ext cx="112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" name="Line 3165"/>
          <xdr:cNvSpPr>
            <a:spLocks noChangeShapeType="1"/>
          </xdr:cNvSpPr>
        </xdr:nvSpPr>
        <xdr:spPr bwMode="auto">
          <a:xfrm>
            <a:off x="4900" y="351"/>
            <a:ext cx="98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6" name="Line 3166"/>
          <xdr:cNvSpPr>
            <a:spLocks noChangeShapeType="1"/>
          </xdr:cNvSpPr>
        </xdr:nvSpPr>
        <xdr:spPr bwMode="auto">
          <a:xfrm>
            <a:off x="4996" y="352"/>
            <a:ext cx="0" cy="19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295275</xdr:colOff>
      <xdr:row>49</xdr:row>
      <xdr:rowOff>9525</xdr:rowOff>
    </xdr:from>
    <xdr:to>
      <xdr:col>7</xdr:col>
      <xdr:colOff>485775</xdr:colOff>
      <xdr:row>49</xdr:row>
      <xdr:rowOff>342900</xdr:rowOff>
    </xdr:to>
    <xdr:grpSp>
      <xdr:nvGrpSpPr>
        <xdr:cNvPr id="191" name="Group 3167"/>
        <xdr:cNvGrpSpPr>
          <a:grpSpLocks/>
        </xdr:cNvGrpSpPr>
      </xdr:nvGrpSpPr>
      <xdr:grpSpPr bwMode="auto">
        <a:xfrm>
          <a:off x="10001704" y="15594239"/>
          <a:ext cx="190500" cy="333375"/>
          <a:chOff x="5547" y="103"/>
          <a:chExt cx="225" cy="438"/>
        </a:xfrm>
      </xdr:grpSpPr>
      <xdr:grpSp>
        <xdr:nvGrpSpPr>
          <xdr:cNvPr id="192" name="Group 3168"/>
          <xdr:cNvGrpSpPr>
            <a:grpSpLocks/>
          </xdr:cNvGrpSpPr>
        </xdr:nvGrpSpPr>
        <xdr:grpSpPr bwMode="auto">
          <a:xfrm>
            <a:off x="5547" y="103"/>
            <a:ext cx="162" cy="245"/>
            <a:chOff x="1780" y="20"/>
            <a:chExt cx="162" cy="245"/>
          </a:xfrm>
        </xdr:grpSpPr>
        <xdr:sp macro="" textlink="">
          <xdr:nvSpPr>
            <xdr:cNvPr id="201" name="Oval 3169"/>
            <xdr:cNvSpPr>
              <a:spLocks noChangeArrowheads="1"/>
            </xdr:cNvSpPr>
          </xdr:nvSpPr>
          <xdr:spPr bwMode="auto">
            <a:xfrm>
              <a:off x="1780" y="20"/>
              <a:ext cx="141" cy="89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2" name="Oval 3170"/>
            <xdr:cNvSpPr>
              <a:spLocks noChangeArrowheads="1"/>
            </xdr:cNvSpPr>
          </xdr:nvSpPr>
          <xdr:spPr bwMode="auto">
            <a:xfrm>
              <a:off x="1920" y="65"/>
              <a:ext cx="22" cy="15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3" name="Line 3171"/>
            <xdr:cNvSpPr>
              <a:spLocks noChangeShapeType="1"/>
            </xdr:cNvSpPr>
          </xdr:nvSpPr>
          <xdr:spPr bwMode="auto">
            <a:xfrm>
              <a:off x="1847" y="112"/>
              <a:ext cx="0" cy="0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4" name="Line 3172"/>
            <xdr:cNvSpPr>
              <a:spLocks noChangeShapeType="1"/>
            </xdr:cNvSpPr>
          </xdr:nvSpPr>
          <xdr:spPr bwMode="auto">
            <a:xfrm>
              <a:off x="1833" y="108"/>
              <a:ext cx="1" cy="157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93" name="Line 3173"/>
          <xdr:cNvSpPr>
            <a:spLocks noChangeShapeType="1"/>
          </xdr:cNvSpPr>
        </xdr:nvSpPr>
        <xdr:spPr bwMode="auto">
          <a:xfrm>
            <a:off x="5558" y="259"/>
            <a:ext cx="0" cy="276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" name="Line 3174"/>
          <xdr:cNvSpPr>
            <a:spLocks noChangeShapeType="1"/>
          </xdr:cNvSpPr>
        </xdr:nvSpPr>
        <xdr:spPr bwMode="auto">
          <a:xfrm>
            <a:off x="5557" y="396"/>
            <a:ext cx="12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" name="Line 3175"/>
          <xdr:cNvSpPr>
            <a:spLocks noChangeShapeType="1"/>
          </xdr:cNvSpPr>
        </xdr:nvSpPr>
        <xdr:spPr bwMode="auto">
          <a:xfrm>
            <a:off x="5678" y="396"/>
            <a:ext cx="0" cy="1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" name="Oval 3176"/>
          <xdr:cNvSpPr>
            <a:spLocks noChangeArrowheads="1"/>
          </xdr:cNvSpPr>
        </xdr:nvSpPr>
        <xdr:spPr bwMode="auto">
          <a:xfrm>
            <a:off x="5649" y="521"/>
            <a:ext cx="59" cy="14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" name="Line 3177"/>
          <xdr:cNvSpPr>
            <a:spLocks noChangeShapeType="1"/>
          </xdr:cNvSpPr>
        </xdr:nvSpPr>
        <xdr:spPr bwMode="auto">
          <a:xfrm rot="809719" flipH="1">
            <a:off x="5667" y="400"/>
            <a:ext cx="25" cy="13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" name="Line 3178"/>
          <xdr:cNvSpPr>
            <a:spLocks noChangeShapeType="1"/>
          </xdr:cNvSpPr>
        </xdr:nvSpPr>
        <xdr:spPr bwMode="auto">
          <a:xfrm rot="987105">
            <a:off x="5595" y="363"/>
            <a:ext cx="122" cy="24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Line 3179"/>
          <xdr:cNvSpPr>
            <a:spLocks noChangeShapeType="1"/>
          </xdr:cNvSpPr>
        </xdr:nvSpPr>
        <xdr:spPr bwMode="auto">
          <a:xfrm>
            <a:off x="5719" y="324"/>
            <a:ext cx="53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" name="Line 3180"/>
          <xdr:cNvSpPr>
            <a:spLocks noChangeShapeType="1"/>
          </xdr:cNvSpPr>
        </xdr:nvSpPr>
        <xdr:spPr bwMode="auto">
          <a:xfrm>
            <a:off x="5717" y="323"/>
            <a:ext cx="0" cy="21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238125</xdr:colOff>
      <xdr:row>42</xdr:row>
      <xdr:rowOff>404226</xdr:rowOff>
    </xdr:from>
    <xdr:to>
      <xdr:col>7</xdr:col>
      <xdr:colOff>523875</xdr:colOff>
      <xdr:row>43</xdr:row>
      <xdr:rowOff>330622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01654" y="13365697"/>
          <a:ext cx="285750" cy="3372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54708</xdr:colOff>
      <xdr:row>1</xdr:row>
      <xdr:rowOff>323362</xdr:rowOff>
    </xdr:from>
    <xdr:to>
      <xdr:col>2</xdr:col>
      <xdr:colOff>2496745</xdr:colOff>
      <xdr:row>1</xdr:row>
      <xdr:rowOff>1303476</xdr:rowOff>
    </xdr:to>
    <xdr:pic>
      <xdr:nvPicPr>
        <xdr:cNvPr id="1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31" y="592016"/>
          <a:ext cx="244203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24</xdr:col>
      <xdr:colOff>24421</xdr:colOff>
      <xdr:row>1</xdr:row>
      <xdr:rowOff>231532</xdr:rowOff>
    </xdr:from>
    <xdr:to>
      <xdr:col>29</xdr:col>
      <xdr:colOff>108167</xdr:colOff>
      <xdr:row>1</xdr:row>
      <xdr:rowOff>1211646</xdr:rowOff>
    </xdr:to>
    <xdr:pic>
      <xdr:nvPicPr>
        <xdr:cNvPr id="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6152" y="500186"/>
          <a:ext cx="2453761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3</xdr:col>
      <xdr:colOff>149351</xdr:colOff>
      <xdr:row>18</xdr:row>
      <xdr:rowOff>86686</xdr:rowOff>
    </xdr:from>
    <xdr:to>
      <xdr:col>3</xdr:col>
      <xdr:colOff>912813</xdr:colOff>
      <xdr:row>18</xdr:row>
      <xdr:rowOff>972344</xdr:rowOff>
    </xdr:to>
    <xdr:pic>
      <xdr:nvPicPr>
        <xdr:cNvPr id="21" name="Immagin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257" y="9571999"/>
          <a:ext cx="763462" cy="885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168495</xdr:colOff>
      <xdr:row>18</xdr:row>
      <xdr:rowOff>59531</xdr:rowOff>
    </xdr:from>
    <xdr:to>
      <xdr:col>5</xdr:col>
      <xdr:colOff>24178</xdr:colOff>
      <xdr:row>19</xdr:row>
      <xdr:rowOff>19843</xdr:rowOff>
    </xdr:to>
    <xdr:pic>
      <xdr:nvPicPr>
        <xdr:cNvPr id="22" name="Immagin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901" y="9544844"/>
          <a:ext cx="80818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150394</xdr:colOff>
      <xdr:row>18</xdr:row>
      <xdr:rowOff>16710</xdr:rowOff>
    </xdr:from>
    <xdr:to>
      <xdr:col>5</xdr:col>
      <xdr:colOff>899026</xdr:colOff>
      <xdr:row>18</xdr:row>
      <xdr:rowOff>952500</xdr:rowOff>
    </xdr:to>
    <xdr:pic>
      <xdr:nvPicPr>
        <xdr:cNvPr id="23" name="Immagin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300" y="9502023"/>
          <a:ext cx="748632" cy="93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133683</xdr:colOff>
      <xdr:row>18</xdr:row>
      <xdr:rowOff>66841</xdr:rowOff>
    </xdr:from>
    <xdr:to>
      <xdr:col>6</xdr:col>
      <xdr:colOff>873124</xdr:colOff>
      <xdr:row>18</xdr:row>
      <xdr:rowOff>972343</xdr:rowOff>
    </xdr:to>
    <xdr:pic>
      <xdr:nvPicPr>
        <xdr:cNvPr id="24" name="Immagine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0089" y="9552154"/>
          <a:ext cx="739441" cy="90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99220</xdr:colOff>
      <xdr:row>18</xdr:row>
      <xdr:rowOff>13577</xdr:rowOff>
    </xdr:from>
    <xdr:to>
      <xdr:col>7</xdr:col>
      <xdr:colOff>932658</xdr:colOff>
      <xdr:row>19</xdr:row>
      <xdr:rowOff>19843</xdr:rowOff>
    </xdr:to>
    <xdr:pic>
      <xdr:nvPicPr>
        <xdr:cNvPr id="25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6" y="9498890"/>
          <a:ext cx="833438" cy="998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813594</xdr:colOff>
      <xdr:row>18</xdr:row>
      <xdr:rowOff>99218</xdr:rowOff>
    </xdr:from>
    <xdr:to>
      <xdr:col>9</xdr:col>
      <xdr:colOff>0</xdr:colOff>
      <xdr:row>18</xdr:row>
      <xdr:rowOff>972343</xdr:rowOff>
    </xdr:to>
    <xdr:pic>
      <xdr:nvPicPr>
        <xdr:cNvPr id="26" name="Immagine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9584531"/>
          <a:ext cx="674688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33422</xdr:colOff>
      <xdr:row>18</xdr:row>
      <xdr:rowOff>66842</xdr:rowOff>
    </xdr:from>
    <xdr:to>
      <xdr:col>8</xdr:col>
      <xdr:colOff>773907</xdr:colOff>
      <xdr:row>18</xdr:row>
      <xdr:rowOff>1000931</xdr:rowOff>
    </xdr:to>
    <xdr:pic>
      <xdr:nvPicPr>
        <xdr:cNvPr id="27" name="Immagine 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828" y="9552155"/>
          <a:ext cx="740485" cy="92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133684</xdr:colOff>
      <xdr:row>18</xdr:row>
      <xdr:rowOff>19844</xdr:rowOff>
    </xdr:from>
    <xdr:to>
      <xdr:col>9</xdr:col>
      <xdr:colOff>932656</xdr:colOff>
      <xdr:row>19</xdr:row>
      <xdr:rowOff>19844</xdr:rowOff>
    </xdr:to>
    <xdr:pic>
      <xdr:nvPicPr>
        <xdr:cNvPr id="28" name="Immagine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3372" y="9505157"/>
          <a:ext cx="798972" cy="992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100263</xdr:colOff>
      <xdr:row>18</xdr:row>
      <xdr:rowOff>19843</xdr:rowOff>
    </xdr:from>
    <xdr:to>
      <xdr:col>10</xdr:col>
      <xdr:colOff>853281</xdr:colOff>
      <xdr:row>18</xdr:row>
      <xdr:rowOff>972343</xdr:rowOff>
    </xdr:to>
    <xdr:pic>
      <xdr:nvPicPr>
        <xdr:cNvPr id="29" name="Immagin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52451" y="9505156"/>
          <a:ext cx="753018" cy="952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100262</xdr:colOff>
      <xdr:row>18</xdr:row>
      <xdr:rowOff>66841</xdr:rowOff>
    </xdr:from>
    <xdr:to>
      <xdr:col>12</xdr:col>
      <xdr:colOff>5617</xdr:colOff>
      <xdr:row>18</xdr:row>
      <xdr:rowOff>1000931</xdr:rowOff>
    </xdr:to>
    <xdr:pic>
      <xdr:nvPicPr>
        <xdr:cNvPr id="30" name="Immagine 2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04950" y="9552154"/>
          <a:ext cx="852237" cy="925346"/>
        </a:xfrm>
        <a:prstGeom prst="rect">
          <a:avLst/>
        </a:prstGeom>
      </xdr:spPr>
    </xdr:pic>
    <xdr:clientData/>
  </xdr:twoCellAnchor>
  <xdr:twoCellAnchor editAs="oneCell">
    <xdr:from>
      <xdr:col>12</xdr:col>
      <xdr:colOff>116974</xdr:colOff>
      <xdr:row>18</xdr:row>
      <xdr:rowOff>79375</xdr:rowOff>
    </xdr:from>
    <xdr:to>
      <xdr:col>12</xdr:col>
      <xdr:colOff>912812</xdr:colOff>
      <xdr:row>18</xdr:row>
      <xdr:rowOff>972343</xdr:rowOff>
    </xdr:to>
    <xdr:pic>
      <xdr:nvPicPr>
        <xdr:cNvPr id="31" name="Immagine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4162" y="9564688"/>
          <a:ext cx="795838" cy="892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85558</xdr:colOff>
      <xdr:row>18</xdr:row>
      <xdr:rowOff>85558</xdr:rowOff>
    </xdr:from>
    <xdr:to>
      <xdr:col>13</xdr:col>
      <xdr:colOff>702203</xdr:colOff>
      <xdr:row>18</xdr:row>
      <xdr:rowOff>912812</xdr:rowOff>
    </xdr:to>
    <xdr:pic>
      <xdr:nvPicPr>
        <xdr:cNvPr id="32" name="Immagine 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5246" y="9570871"/>
          <a:ext cx="616645" cy="827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635000</xdr:colOff>
      <xdr:row>18</xdr:row>
      <xdr:rowOff>77286</xdr:rowOff>
    </xdr:from>
    <xdr:to>
      <xdr:col>13</xdr:col>
      <xdr:colOff>1289844</xdr:colOff>
      <xdr:row>18</xdr:row>
      <xdr:rowOff>972343</xdr:rowOff>
    </xdr:to>
    <xdr:pic>
      <xdr:nvPicPr>
        <xdr:cNvPr id="33" name="Immagine 3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88" y="9562599"/>
          <a:ext cx="654844" cy="895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133683</xdr:colOff>
      <xdr:row>18</xdr:row>
      <xdr:rowOff>99217</xdr:rowOff>
    </xdr:from>
    <xdr:to>
      <xdr:col>14</xdr:col>
      <xdr:colOff>892968</xdr:colOff>
      <xdr:row>19</xdr:row>
      <xdr:rowOff>19842</xdr:rowOff>
    </xdr:to>
    <xdr:pic>
      <xdr:nvPicPr>
        <xdr:cNvPr id="34" name="Immagine 3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589" y="9584530"/>
          <a:ext cx="759285" cy="912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66841</xdr:colOff>
      <xdr:row>18</xdr:row>
      <xdr:rowOff>33420</xdr:rowOff>
    </xdr:from>
    <xdr:to>
      <xdr:col>15</xdr:col>
      <xdr:colOff>892968</xdr:colOff>
      <xdr:row>18</xdr:row>
      <xdr:rowOff>932656</xdr:rowOff>
    </xdr:to>
    <xdr:pic>
      <xdr:nvPicPr>
        <xdr:cNvPr id="35" name="Immagine 3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8247" y="9518733"/>
          <a:ext cx="826127" cy="899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83552</xdr:colOff>
      <xdr:row>18</xdr:row>
      <xdr:rowOff>83552</xdr:rowOff>
    </xdr:from>
    <xdr:to>
      <xdr:col>18</xdr:col>
      <xdr:colOff>19843</xdr:colOff>
      <xdr:row>18</xdr:row>
      <xdr:rowOff>1000931</xdr:rowOff>
    </xdr:to>
    <xdr:pic>
      <xdr:nvPicPr>
        <xdr:cNvPr id="36" name="Immagine 3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6521" y="9568865"/>
          <a:ext cx="888791" cy="908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66842</xdr:colOff>
      <xdr:row>18</xdr:row>
      <xdr:rowOff>83552</xdr:rowOff>
    </xdr:from>
    <xdr:to>
      <xdr:col>19</xdr:col>
      <xdr:colOff>912812</xdr:colOff>
      <xdr:row>19</xdr:row>
      <xdr:rowOff>19843</xdr:rowOff>
    </xdr:to>
    <xdr:pic>
      <xdr:nvPicPr>
        <xdr:cNvPr id="37" name="Immagine 3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4811" y="9568865"/>
          <a:ext cx="845970" cy="928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92951</xdr:colOff>
      <xdr:row>18</xdr:row>
      <xdr:rowOff>79375</xdr:rowOff>
    </xdr:from>
    <xdr:to>
      <xdr:col>18</xdr:col>
      <xdr:colOff>892968</xdr:colOff>
      <xdr:row>18</xdr:row>
      <xdr:rowOff>972343</xdr:rowOff>
    </xdr:to>
    <xdr:pic>
      <xdr:nvPicPr>
        <xdr:cNvPr id="38" name="Immagine 3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8420" y="9564688"/>
          <a:ext cx="800017" cy="892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66841</xdr:colOff>
      <xdr:row>18</xdr:row>
      <xdr:rowOff>66841</xdr:rowOff>
    </xdr:from>
    <xdr:to>
      <xdr:col>16</xdr:col>
      <xdr:colOff>773906</xdr:colOff>
      <xdr:row>18</xdr:row>
      <xdr:rowOff>1000931</xdr:rowOff>
    </xdr:to>
    <xdr:pic>
      <xdr:nvPicPr>
        <xdr:cNvPr id="39" name="Immagine 3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0747" y="9552154"/>
          <a:ext cx="707065" cy="925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734220</xdr:colOff>
      <xdr:row>18</xdr:row>
      <xdr:rowOff>19843</xdr:rowOff>
    </xdr:from>
    <xdr:to>
      <xdr:col>16</xdr:col>
      <xdr:colOff>1369220</xdr:colOff>
      <xdr:row>18</xdr:row>
      <xdr:rowOff>972342</xdr:rowOff>
    </xdr:to>
    <xdr:pic>
      <xdr:nvPicPr>
        <xdr:cNvPr id="40" name="Immagine 3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8126" y="9505156"/>
          <a:ext cx="635000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3" name="Line 33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4" name="Line 34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5" name="Line 35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6" name="Line 36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7" name="Line 37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8" name="Line 38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89" name="Line 39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8490" name="Line 40"/>
        <xdr:cNvSpPr>
          <a:spLocks noChangeShapeType="1"/>
        </xdr:cNvSpPr>
      </xdr:nvSpPr>
      <xdr:spPr bwMode="auto">
        <a:xfrm flipH="1">
          <a:off x="2589847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104775</xdr:colOff>
      <xdr:row>40</xdr:row>
      <xdr:rowOff>0</xdr:rowOff>
    </xdr:from>
    <xdr:to>
      <xdr:col>14</xdr:col>
      <xdr:colOff>723900</xdr:colOff>
      <xdr:row>40</xdr:row>
      <xdr:rowOff>0</xdr:rowOff>
    </xdr:to>
    <xdr:grpSp>
      <xdr:nvGrpSpPr>
        <xdr:cNvPr id="8497" name="Group 47"/>
        <xdr:cNvGrpSpPr>
          <a:grpSpLocks/>
        </xdr:cNvGrpSpPr>
      </xdr:nvGrpSpPr>
      <xdr:grpSpPr bwMode="auto">
        <a:xfrm>
          <a:off x="11847314" y="11474648"/>
          <a:ext cx="1155502" cy="0"/>
          <a:chOff x="622" y="1179"/>
          <a:chExt cx="80" cy="143"/>
        </a:xfrm>
      </xdr:grpSpPr>
      <xdr:sp macro="" textlink="">
        <xdr:nvSpPr>
          <xdr:cNvPr id="8241" name="Text Box 49"/>
          <xdr:cNvSpPr txBox="1">
            <a:spLocks noChangeArrowheads="1"/>
          </xdr:cNvSpPr>
        </xdr:nvSpPr>
        <xdr:spPr bwMode="auto">
          <a:xfrm>
            <a:off x="172903410225" y="98488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242" name="Text Box 50"/>
          <xdr:cNvSpPr txBox="1">
            <a:spLocks noChangeArrowheads="1"/>
          </xdr:cNvSpPr>
        </xdr:nvSpPr>
        <xdr:spPr bwMode="auto">
          <a:xfrm>
            <a:off x="172903410225" y="98488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8243" name="Text Box 51"/>
          <xdr:cNvSpPr txBox="1">
            <a:spLocks noChangeArrowheads="1"/>
          </xdr:cNvSpPr>
        </xdr:nvSpPr>
        <xdr:spPr bwMode="auto">
          <a:xfrm>
            <a:off x="15915197512950" y="984885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114300</xdr:colOff>
      <xdr:row>45</xdr:row>
      <xdr:rowOff>0</xdr:rowOff>
    </xdr:from>
    <xdr:to>
      <xdr:col>11</xdr:col>
      <xdr:colOff>323850</xdr:colOff>
      <xdr:row>45</xdr:row>
      <xdr:rowOff>0</xdr:rowOff>
    </xdr:to>
    <xdr:grpSp>
      <xdr:nvGrpSpPr>
        <xdr:cNvPr id="8498" name="Group 242"/>
        <xdr:cNvGrpSpPr>
          <a:grpSpLocks/>
        </xdr:cNvGrpSpPr>
      </xdr:nvGrpSpPr>
      <xdr:grpSpPr bwMode="auto">
        <a:xfrm>
          <a:off x="8701683" y="12650391"/>
          <a:ext cx="923925" cy="0"/>
          <a:chOff x="622" y="1179"/>
          <a:chExt cx="80" cy="143"/>
        </a:xfrm>
      </xdr:grpSpPr>
      <xdr:sp macro="" textlink="">
        <xdr:nvSpPr>
          <xdr:cNvPr id="8436" name="Text Box 244"/>
          <xdr:cNvSpPr txBox="1">
            <a:spLocks noChangeArrowheads="1"/>
          </xdr:cNvSpPr>
        </xdr:nvSpPr>
        <xdr:spPr bwMode="auto">
          <a:xfrm>
            <a:off x="15459112609433" y="9991725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37" name="Text Box 245"/>
          <xdr:cNvSpPr txBox="1">
            <a:spLocks noChangeArrowheads="1"/>
          </xdr:cNvSpPr>
        </xdr:nvSpPr>
        <xdr:spPr bwMode="auto">
          <a:xfrm>
            <a:off x="15459112609433" y="9991725"/>
            <a:ext cx="59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8438" name="Text Box 246"/>
          <xdr:cNvSpPr txBox="1">
            <a:spLocks noChangeArrowheads="1"/>
          </xdr:cNvSpPr>
        </xdr:nvSpPr>
        <xdr:spPr bwMode="auto">
          <a:xfrm>
            <a:off x="8858250" y="99917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171450</xdr:colOff>
      <xdr:row>49</xdr:row>
      <xdr:rowOff>0</xdr:rowOff>
    </xdr:from>
    <xdr:to>
      <xdr:col>11</xdr:col>
      <xdr:colOff>314325</xdr:colOff>
      <xdr:row>49</xdr:row>
      <xdr:rowOff>0</xdr:rowOff>
    </xdr:to>
    <xdr:grpSp>
      <xdr:nvGrpSpPr>
        <xdr:cNvPr id="8499" name="Group 247"/>
        <xdr:cNvGrpSpPr>
          <a:grpSpLocks/>
        </xdr:cNvGrpSpPr>
      </xdr:nvGrpSpPr>
      <xdr:grpSpPr bwMode="auto">
        <a:xfrm>
          <a:off x="8758833" y="13245703"/>
          <a:ext cx="857250" cy="0"/>
          <a:chOff x="622" y="1179"/>
          <a:chExt cx="80" cy="143"/>
        </a:xfrm>
      </xdr:grpSpPr>
      <xdr:sp macro="" textlink="">
        <xdr:nvSpPr>
          <xdr:cNvPr id="8441" name="Text Box 249"/>
          <xdr:cNvSpPr txBox="1">
            <a:spLocks noChangeArrowheads="1"/>
          </xdr:cNvSpPr>
        </xdr:nvSpPr>
        <xdr:spPr bwMode="auto">
          <a:xfrm>
            <a:off x="-4635244075950" y="105632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42" name="Text Box 250"/>
          <xdr:cNvSpPr txBox="1">
            <a:spLocks noChangeArrowheads="1"/>
          </xdr:cNvSpPr>
        </xdr:nvSpPr>
        <xdr:spPr bwMode="auto">
          <a:xfrm>
            <a:off x="-4635244075950" y="105632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8443" name="Text Box 251"/>
          <xdr:cNvSpPr txBox="1">
            <a:spLocks noChangeArrowheads="1"/>
          </xdr:cNvSpPr>
        </xdr:nvSpPr>
        <xdr:spPr bwMode="auto">
          <a:xfrm>
            <a:off x="1641257760150" y="1056322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219075</xdr:colOff>
      <xdr:row>57</xdr:row>
      <xdr:rowOff>0</xdr:rowOff>
    </xdr:from>
    <xdr:to>
      <xdr:col>12</xdr:col>
      <xdr:colOff>0</xdr:colOff>
      <xdr:row>57</xdr:row>
      <xdr:rowOff>0</xdr:rowOff>
    </xdr:to>
    <xdr:grpSp>
      <xdr:nvGrpSpPr>
        <xdr:cNvPr id="8500" name="Group 252"/>
        <xdr:cNvGrpSpPr>
          <a:grpSpLocks/>
        </xdr:cNvGrpSpPr>
      </xdr:nvGrpSpPr>
      <xdr:grpSpPr bwMode="auto">
        <a:xfrm>
          <a:off x="8806458" y="14347031"/>
          <a:ext cx="2191940" cy="0"/>
          <a:chOff x="622" y="1179"/>
          <a:chExt cx="80" cy="143"/>
        </a:xfrm>
      </xdr:grpSpPr>
      <xdr:sp macro="" textlink="">
        <xdr:nvSpPr>
          <xdr:cNvPr id="8446" name="Text Box 254"/>
          <xdr:cNvSpPr txBox="1">
            <a:spLocks noChangeArrowheads="1"/>
          </xdr:cNvSpPr>
        </xdr:nvSpPr>
        <xdr:spPr bwMode="auto">
          <a:xfrm>
            <a:off x="17132886581250" y="114966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47" name="Text Box 255"/>
          <xdr:cNvSpPr txBox="1">
            <a:spLocks noChangeArrowheads="1"/>
          </xdr:cNvSpPr>
        </xdr:nvSpPr>
        <xdr:spPr bwMode="auto">
          <a:xfrm>
            <a:off x="17132886581250" y="114966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2÷3</a:t>
            </a:r>
          </a:p>
        </xdr:txBody>
      </xdr:sp>
      <xdr:sp macro="" textlink="">
        <xdr:nvSpPr>
          <xdr:cNvPr id="8448" name="Text Box 256"/>
          <xdr:cNvSpPr txBox="1">
            <a:spLocks noChangeArrowheads="1"/>
          </xdr:cNvSpPr>
        </xdr:nvSpPr>
        <xdr:spPr bwMode="auto">
          <a:xfrm>
            <a:off x="245438780775" y="114966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0÷1</a:t>
            </a:r>
          </a:p>
        </xdr:txBody>
      </xdr:sp>
    </xdr:grpSp>
    <xdr:clientData/>
  </xdr:twoCellAnchor>
  <xdr:twoCellAnchor>
    <xdr:from>
      <xdr:col>10</xdr:col>
      <xdr:colOff>171450</xdr:colOff>
      <xdr:row>62</xdr:row>
      <xdr:rowOff>0</xdr:rowOff>
    </xdr:from>
    <xdr:to>
      <xdr:col>11</xdr:col>
      <xdr:colOff>295275</xdr:colOff>
      <xdr:row>62</xdr:row>
      <xdr:rowOff>0</xdr:rowOff>
    </xdr:to>
    <xdr:grpSp>
      <xdr:nvGrpSpPr>
        <xdr:cNvPr id="8501" name="Group 257"/>
        <xdr:cNvGrpSpPr>
          <a:grpSpLocks/>
        </xdr:cNvGrpSpPr>
      </xdr:nvGrpSpPr>
      <xdr:grpSpPr bwMode="auto">
        <a:xfrm>
          <a:off x="8758833" y="15031641"/>
          <a:ext cx="838200" cy="0"/>
          <a:chOff x="622" y="328"/>
          <a:chExt cx="80" cy="143"/>
        </a:xfrm>
      </xdr:grpSpPr>
      <xdr:sp macro="" textlink="">
        <xdr:nvSpPr>
          <xdr:cNvPr id="8451" name="Text Box 259"/>
          <xdr:cNvSpPr txBox="1">
            <a:spLocks noChangeArrowheads="1"/>
          </xdr:cNvSpPr>
        </xdr:nvSpPr>
        <xdr:spPr bwMode="auto">
          <a:xfrm>
            <a:off x="1921839314147" y="12163425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52" name="Text Box 260"/>
          <xdr:cNvSpPr txBox="1">
            <a:spLocks noChangeArrowheads="1"/>
          </xdr:cNvSpPr>
        </xdr:nvSpPr>
        <xdr:spPr bwMode="auto">
          <a:xfrm>
            <a:off x="1921839314147" y="12163425"/>
            <a:ext cx="56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8453" name="Text Box 261"/>
          <xdr:cNvSpPr txBox="1">
            <a:spLocks noChangeArrowheads="1"/>
          </xdr:cNvSpPr>
        </xdr:nvSpPr>
        <xdr:spPr bwMode="auto">
          <a:xfrm>
            <a:off x="-2126214253116" y="12163425"/>
            <a:ext cx="57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171450</xdr:colOff>
      <xdr:row>66</xdr:row>
      <xdr:rowOff>0</xdr:rowOff>
    </xdr:from>
    <xdr:to>
      <xdr:col>12</xdr:col>
      <xdr:colOff>19050</xdr:colOff>
      <xdr:row>66</xdr:row>
      <xdr:rowOff>0</xdr:rowOff>
    </xdr:to>
    <xdr:grpSp>
      <xdr:nvGrpSpPr>
        <xdr:cNvPr id="8502" name="Group 262"/>
        <xdr:cNvGrpSpPr>
          <a:grpSpLocks/>
        </xdr:cNvGrpSpPr>
      </xdr:nvGrpSpPr>
      <xdr:grpSpPr bwMode="auto">
        <a:xfrm>
          <a:off x="8758833" y="15641836"/>
          <a:ext cx="2258615" cy="0"/>
          <a:chOff x="622" y="328"/>
          <a:chExt cx="80" cy="143"/>
        </a:xfrm>
      </xdr:grpSpPr>
      <xdr:sp macro="" textlink="">
        <xdr:nvSpPr>
          <xdr:cNvPr id="8456" name="Text Box 264"/>
          <xdr:cNvSpPr txBox="1">
            <a:spLocks noChangeArrowheads="1"/>
          </xdr:cNvSpPr>
        </xdr:nvSpPr>
        <xdr:spPr bwMode="auto">
          <a:xfrm>
            <a:off x="8915400" y="127920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57" name="Text Box 265"/>
          <xdr:cNvSpPr txBox="1">
            <a:spLocks noChangeArrowheads="1"/>
          </xdr:cNvSpPr>
        </xdr:nvSpPr>
        <xdr:spPr bwMode="auto">
          <a:xfrm>
            <a:off x="8915400" y="127920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8458" name="Text Box 266"/>
          <xdr:cNvSpPr txBox="1">
            <a:spLocks noChangeArrowheads="1"/>
          </xdr:cNvSpPr>
        </xdr:nvSpPr>
        <xdr:spPr bwMode="auto">
          <a:xfrm>
            <a:off x="251564460675" y="127920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247650</xdr:colOff>
      <xdr:row>74</xdr:row>
      <xdr:rowOff>0</xdr:rowOff>
    </xdr:from>
    <xdr:to>
      <xdr:col>12</xdr:col>
      <xdr:colOff>76200</xdr:colOff>
      <xdr:row>74</xdr:row>
      <xdr:rowOff>0</xdr:rowOff>
    </xdr:to>
    <xdr:grpSp>
      <xdr:nvGrpSpPr>
        <xdr:cNvPr id="8503" name="Group 267"/>
        <xdr:cNvGrpSpPr>
          <a:grpSpLocks/>
        </xdr:cNvGrpSpPr>
      </xdr:nvGrpSpPr>
      <xdr:grpSpPr bwMode="auto">
        <a:xfrm>
          <a:off x="8835033" y="16951523"/>
          <a:ext cx="2239565" cy="0"/>
          <a:chOff x="622" y="328"/>
          <a:chExt cx="80" cy="143"/>
        </a:xfrm>
      </xdr:grpSpPr>
      <xdr:sp macro="" textlink="">
        <xdr:nvSpPr>
          <xdr:cNvPr id="8461" name="Text Box 269"/>
          <xdr:cNvSpPr txBox="1">
            <a:spLocks noChangeArrowheads="1"/>
          </xdr:cNvSpPr>
        </xdr:nvSpPr>
        <xdr:spPr bwMode="auto">
          <a:xfrm>
            <a:off x="251573757075" y="140589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8462" name="Text Box 270"/>
          <xdr:cNvSpPr txBox="1">
            <a:spLocks noChangeArrowheads="1"/>
          </xdr:cNvSpPr>
        </xdr:nvSpPr>
        <xdr:spPr bwMode="auto">
          <a:xfrm>
            <a:off x="251573757075" y="140589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8463" name="Text Box 271"/>
          <xdr:cNvSpPr txBox="1">
            <a:spLocks noChangeArrowheads="1"/>
          </xdr:cNvSpPr>
        </xdr:nvSpPr>
        <xdr:spPr bwMode="auto">
          <a:xfrm>
            <a:off x="8991600" y="14058900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10</xdr:col>
      <xdr:colOff>219075</xdr:colOff>
      <xdr:row>78</xdr:row>
      <xdr:rowOff>0</xdr:rowOff>
    </xdr:from>
    <xdr:to>
      <xdr:col>13</xdr:col>
      <xdr:colOff>19050</xdr:colOff>
      <xdr:row>78</xdr:row>
      <xdr:rowOff>0</xdr:rowOff>
    </xdr:to>
    <xdr:grpSp>
      <xdr:nvGrpSpPr>
        <xdr:cNvPr id="8504" name="Group 287"/>
        <xdr:cNvGrpSpPr>
          <a:grpSpLocks/>
        </xdr:cNvGrpSpPr>
      </xdr:nvGrpSpPr>
      <xdr:grpSpPr bwMode="auto">
        <a:xfrm>
          <a:off x="8806458" y="17546836"/>
          <a:ext cx="2955131" cy="0"/>
          <a:chOff x="622" y="553"/>
          <a:chExt cx="80" cy="143"/>
        </a:xfrm>
      </xdr:grpSpPr>
      <xdr:sp macro="" textlink="">
        <xdr:nvSpPr>
          <xdr:cNvPr id="2" name="Text Box 289"/>
          <xdr:cNvSpPr txBox="1">
            <a:spLocks noChangeArrowheads="1"/>
          </xdr:cNvSpPr>
        </xdr:nvSpPr>
        <xdr:spPr bwMode="auto">
          <a:xfrm>
            <a:off x="8963025" y="146208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&gt;=4</a:t>
            </a:r>
          </a:p>
        </xdr:txBody>
      </xdr:sp>
      <xdr:sp macro="" textlink="">
        <xdr:nvSpPr>
          <xdr:cNvPr id="3" name="Text Box 290"/>
          <xdr:cNvSpPr txBox="1">
            <a:spLocks noChangeArrowheads="1"/>
          </xdr:cNvSpPr>
        </xdr:nvSpPr>
        <xdr:spPr bwMode="auto">
          <a:xfrm>
            <a:off x="8963025" y="146208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1÷3</a:t>
            </a:r>
          </a:p>
        </xdr:txBody>
      </xdr:sp>
      <xdr:sp macro="" textlink="">
        <xdr:nvSpPr>
          <xdr:cNvPr id="4" name="Text Box 291"/>
          <xdr:cNvSpPr txBox="1">
            <a:spLocks noChangeArrowheads="1"/>
          </xdr:cNvSpPr>
        </xdr:nvSpPr>
        <xdr:spPr bwMode="auto">
          <a:xfrm>
            <a:off x="8963025" y="14620875"/>
            <a:ext cx="0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0</xdr:col>
      <xdr:colOff>285750</xdr:colOff>
      <xdr:row>82</xdr:row>
      <xdr:rowOff>114300</xdr:rowOff>
    </xdr:from>
    <xdr:to>
      <xdr:col>17</xdr:col>
      <xdr:colOff>1006475</xdr:colOff>
      <xdr:row>94</xdr:row>
      <xdr:rowOff>4514850</xdr:rowOff>
    </xdr:to>
    <xdr:graphicFrame macro="">
      <xdr:nvGraphicFramePr>
        <xdr:cNvPr id="8506" name="Chart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187324</xdr:colOff>
      <xdr:row>83</xdr:row>
      <xdr:rowOff>365127</xdr:rowOff>
    </xdr:from>
    <xdr:to>
      <xdr:col>6</xdr:col>
      <xdr:colOff>1095374</xdr:colOff>
      <xdr:row>85</xdr:row>
      <xdr:rowOff>111128</xdr:rowOff>
    </xdr:to>
    <xdr:sp macro="" textlink="">
      <xdr:nvSpPr>
        <xdr:cNvPr id="8507" name="AutoShape 296"/>
        <xdr:cNvSpPr>
          <a:spLocks/>
        </xdr:cNvSpPr>
      </xdr:nvSpPr>
      <xdr:spPr bwMode="auto">
        <a:xfrm rot="5400000">
          <a:off x="3189286" y="14492290"/>
          <a:ext cx="603251" cy="4575175"/>
        </a:xfrm>
        <a:prstGeom prst="leftBrace">
          <a:avLst>
            <a:gd name="adj1" fmla="val 62112"/>
            <a:gd name="adj2" fmla="val 50694"/>
          </a:avLst>
        </a:prstGeom>
        <a:ln>
          <a:solidFill>
            <a:schemeClr val="bg1"/>
          </a:solidFill>
          <a:headEnd/>
          <a:tailEnd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3</xdr:col>
      <xdr:colOff>123825</xdr:colOff>
      <xdr:row>83</xdr:row>
      <xdr:rowOff>66965</xdr:rowOff>
    </xdr:from>
    <xdr:to>
      <xdr:col>5</xdr:col>
      <xdr:colOff>460374</xdr:colOff>
      <xdr:row>83</xdr:row>
      <xdr:rowOff>381000</xdr:rowOff>
    </xdr:to>
    <xdr:sp macro="" textlink="">
      <xdr:nvSpPr>
        <xdr:cNvPr id="68775" name="Text Box 297"/>
        <xdr:cNvSpPr txBox="1">
          <a:spLocks noChangeArrowheads="1"/>
        </xdr:cNvSpPr>
      </xdr:nvSpPr>
      <xdr:spPr bwMode="auto">
        <a:xfrm>
          <a:off x="2251075" y="16180090"/>
          <a:ext cx="2273299" cy="3140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BIOMECHANICAL</a:t>
          </a:r>
        </a:p>
      </xdr:txBody>
    </xdr:sp>
    <xdr:clientData/>
  </xdr:twoCellAnchor>
  <xdr:twoCellAnchor>
    <xdr:from>
      <xdr:col>9</xdr:col>
      <xdr:colOff>73025</xdr:colOff>
      <xdr:row>84</xdr:row>
      <xdr:rowOff>79375</xdr:rowOff>
    </xdr:from>
    <xdr:to>
      <xdr:col>15</xdr:col>
      <xdr:colOff>0</xdr:colOff>
      <xdr:row>85</xdr:row>
      <xdr:rowOff>50800</xdr:rowOff>
    </xdr:to>
    <xdr:sp macro="" textlink="">
      <xdr:nvSpPr>
        <xdr:cNvPr id="8509" name="AutoShape 302"/>
        <xdr:cNvSpPr>
          <a:spLocks/>
        </xdr:cNvSpPr>
      </xdr:nvSpPr>
      <xdr:spPr bwMode="auto">
        <a:xfrm rot="5400000">
          <a:off x="9988550" y="13833475"/>
          <a:ext cx="400050" cy="5975350"/>
        </a:xfrm>
        <a:prstGeom prst="leftBrace">
          <a:avLst>
            <a:gd name="adj1" fmla="val 68342"/>
            <a:gd name="adj2" fmla="val 49148"/>
          </a:avLst>
        </a:prstGeom>
        <a:ln>
          <a:solidFill>
            <a:schemeClr val="bg1"/>
          </a:solidFill>
          <a:headEnd/>
          <a:tailEnd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10</xdr:col>
      <xdr:colOff>669925</xdr:colOff>
      <xdr:row>83</xdr:row>
      <xdr:rowOff>47625</xdr:rowOff>
    </xdr:from>
    <xdr:to>
      <xdr:col>11</xdr:col>
      <xdr:colOff>1593850</xdr:colOff>
      <xdr:row>83</xdr:row>
      <xdr:rowOff>365124</xdr:rowOff>
    </xdr:to>
    <xdr:sp macro="" textlink="">
      <xdr:nvSpPr>
        <xdr:cNvPr id="116992" name="Text Box 303"/>
        <xdr:cNvSpPr txBox="1">
          <a:spLocks noChangeArrowheads="1"/>
        </xdr:cNvSpPr>
      </xdr:nvSpPr>
      <xdr:spPr bwMode="auto">
        <a:xfrm>
          <a:off x="9290050" y="16160750"/>
          <a:ext cx="1638300" cy="31749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PHYSICAL</a:t>
          </a:r>
          <a:endParaRPr lang="it-IT" sz="1600"/>
        </a:p>
      </xdr:txBody>
    </xdr:sp>
    <xdr:clientData/>
  </xdr:twoCellAnchor>
  <xdr:twoCellAnchor>
    <xdr:from>
      <xdr:col>13</xdr:col>
      <xdr:colOff>539750</xdr:colOff>
      <xdr:row>83</xdr:row>
      <xdr:rowOff>53976</xdr:rowOff>
    </xdr:from>
    <xdr:to>
      <xdr:col>17</xdr:col>
      <xdr:colOff>857250</xdr:colOff>
      <xdr:row>83</xdr:row>
      <xdr:rowOff>301626</xdr:rowOff>
    </xdr:to>
    <xdr:sp macro="" textlink="">
      <xdr:nvSpPr>
        <xdr:cNvPr id="116993" name="Text Box 304"/>
        <xdr:cNvSpPr txBox="1">
          <a:spLocks noChangeArrowheads="1"/>
        </xdr:cNvSpPr>
      </xdr:nvSpPr>
      <xdr:spPr bwMode="auto">
        <a:xfrm>
          <a:off x="12319000" y="16167101"/>
          <a:ext cx="2365375" cy="2476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CHEM-BIOL-OTHERS</a:t>
          </a:r>
          <a:endParaRPr lang="it-IT" sz="1600"/>
        </a:p>
      </xdr:txBody>
    </xdr:sp>
    <xdr:clientData/>
  </xdr:twoCellAnchor>
  <xdr:twoCellAnchor>
    <xdr:from>
      <xdr:col>15</xdr:col>
      <xdr:colOff>352425</xdr:colOff>
      <xdr:row>84</xdr:row>
      <xdr:rowOff>193675</xdr:rowOff>
    </xdr:from>
    <xdr:to>
      <xdr:col>17</xdr:col>
      <xdr:colOff>581025</xdr:colOff>
      <xdr:row>85</xdr:row>
      <xdr:rowOff>63500</xdr:rowOff>
    </xdr:to>
    <xdr:sp macro="" textlink="">
      <xdr:nvSpPr>
        <xdr:cNvPr id="8512" name="AutoShape 305"/>
        <xdr:cNvSpPr>
          <a:spLocks/>
        </xdr:cNvSpPr>
      </xdr:nvSpPr>
      <xdr:spPr bwMode="auto">
        <a:xfrm rot="5400000">
          <a:off x="13890625" y="16373475"/>
          <a:ext cx="298450" cy="1022350"/>
        </a:xfrm>
        <a:prstGeom prst="leftBrace">
          <a:avLst>
            <a:gd name="adj1" fmla="val 26641"/>
            <a:gd name="adj2" fmla="val 49148"/>
          </a:avLst>
        </a:prstGeom>
        <a:ln>
          <a:solidFill>
            <a:schemeClr val="bg1"/>
          </a:solidFill>
          <a:headEnd/>
          <a:tailEnd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6</xdr:col>
      <xdr:colOff>950477</xdr:colOff>
      <xdr:row>83</xdr:row>
      <xdr:rowOff>69851</xdr:rowOff>
    </xdr:from>
    <xdr:to>
      <xdr:col>9</xdr:col>
      <xdr:colOff>620566</xdr:colOff>
      <xdr:row>83</xdr:row>
      <xdr:rowOff>381001</xdr:rowOff>
    </xdr:to>
    <xdr:sp macro="" textlink="">
      <xdr:nvSpPr>
        <xdr:cNvPr id="116995" name="Text Box 306"/>
        <xdr:cNvSpPr txBox="1">
          <a:spLocks noChangeArrowheads="1"/>
        </xdr:cNvSpPr>
      </xdr:nvSpPr>
      <xdr:spPr bwMode="auto">
        <a:xfrm>
          <a:off x="5490727" y="16182976"/>
          <a:ext cx="2114839" cy="3111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36576" bIns="0" anchor="t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ORGANIZATIONAL</a:t>
          </a:r>
          <a:endParaRPr lang="it-IT" sz="1600"/>
        </a:p>
      </xdr:txBody>
    </xdr:sp>
    <xdr:clientData/>
  </xdr:twoCellAnchor>
  <xdr:twoCellAnchor>
    <xdr:from>
      <xdr:col>6</xdr:col>
      <xdr:colOff>1422400</xdr:colOff>
      <xdr:row>84</xdr:row>
      <xdr:rowOff>263525</xdr:rowOff>
    </xdr:from>
    <xdr:to>
      <xdr:col>8</xdr:col>
      <xdr:colOff>365125</xdr:colOff>
      <xdr:row>85</xdr:row>
      <xdr:rowOff>69850</xdr:rowOff>
    </xdr:to>
    <xdr:sp macro="" textlink="">
      <xdr:nvSpPr>
        <xdr:cNvPr id="8514" name="AutoShape 307"/>
        <xdr:cNvSpPr>
          <a:spLocks/>
        </xdr:cNvSpPr>
      </xdr:nvSpPr>
      <xdr:spPr bwMode="auto">
        <a:xfrm rot="5400000">
          <a:off x="6451600" y="16459200"/>
          <a:ext cx="234950" cy="927100"/>
        </a:xfrm>
        <a:prstGeom prst="leftBrace">
          <a:avLst>
            <a:gd name="adj1" fmla="val 31033"/>
            <a:gd name="adj2" fmla="val 49148"/>
          </a:avLst>
        </a:prstGeom>
        <a:ln>
          <a:solidFill>
            <a:schemeClr val="bg1"/>
          </a:solidFill>
          <a:headEnd/>
          <a:tailEnd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 editAs="oneCell">
    <xdr:from>
      <xdr:col>1</xdr:col>
      <xdr:colOff>227772</xdr:colOff>
      <xdr:row>1</xdr:row>
      <xdr:rowOff>207065</xdr:rowOff>
    </xdr:from>
    <xdr:to>
      <xdr:col>3</xdr:col>
      <xdr:colOff>723396</xdr:colOff>
      <xdr:row>1</xdr:row>
      <xdr:rowOff>1187179</xdr:rowOff>
    </xdr:to>
    <xdr:pic>
      <xdr:nvPicPr>
        <xdr:cNvPr id="5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1" y="476250"/>
          <a:ext cx="244203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13</xdr:col>
      <xdr:colOff>297347</xdr:colOff>
      <xdr:row>1</xdr:row>
      <xdr:rowOff>235226</xdr:rowOff>
    </xdr:from>
    <xdr:to>
      <xdr:col>17</xdr:col>
      <xdr:colOff>668731</xdr:colOff>
      <xdr:row>1</xdr:row>
      <xdr:rowOff>1215340</xdr:rowOff>
    </xdr:to>
    <xdr:pic>
      <xdr:nvPicPr>
        <xdr:cNvPr id="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064" y="504411"/>
          <a:ext cx="2442037" cy="9801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2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2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0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0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0"/>
  <sheetViews>
    <sheetView topLeftCell="A214" zoomScale="50" zoomScaleNormal="50" zoomScaleSheetLayoutView="69" workbookViewId="0">
      <selection activeCell="J246" sqref="J246"/>
    </sheetView>
  </sheetViews>
  <sheetFormatPr defaultColWidth="0" defaultRowHeight="15" zeroHeight="1" x14ac:dyDescent="0.2"/>
  <cols>
    <col min="1" max="1" width="5" style="7" customWidth="1"/>
    <col min="2" max="2" width="8.7109375" style="7" customWidth="1"/>
    <col min="3" max="3" width="30" style="7" customWidth="1"/>
    <col min="4" max="4" width="16.28515625" style="7" customWidth="1"/>
    <col min="5" max="5" width="4.42578125" style="7" customWidth="1"/>
    <col min="6" max="6" width="7.140625" style="7" customWidth="1"/>
    <col min="7" max="7" width="23.140625" style="7" customWidth="1"/>
    <col min="8" max="8" width="12.28515625" style="7" customWidth="1"/>
    <col min="9" max="9" width="6.85546875" style="8" hidden="1" customWidth="1"/>
    <col min="10" max="10" width="12.140625" style="7" bestFit="1" customWidth="1"/>
    <col min="11" max="11" width="10.7109375" style="7" customWidth="1"/>
    <col min="12" max="12" width="10.7109375" style="8" customWidth="1"/>
    <col min="13" max="13" width="5.5703125" style="7" customWidth="1"/>
    <col min="14" max="14" width="11.140625" style="7" customWidth="1"/>
    <col min="15" max="15" width="5" style="254" hidden="1" customWidth="1"/>
    <col min="16" max="16" width="7.140625" style="37" hidden="1" customWidth="1"/>
    <col min="17" max="17" width="10.7109375" style="266" hidden="1" customWidth="1"/>
    <col min="18" max="18" width="10" style="37" hidden="1" customWidth="1"/>
    <col min="19" max="19" width="8.85546875" style="37" hidden="1" customWidth="1"/>
    <col min="20" max="20" width="14.140625" style="37" hidden="1" customWidth="1"/>
    <col min="21" max="21" width="10.42578125" style="37" hidden="1" customWidth="1"/>
    <col min="22" max="22" width="30.28515625" style="37" hidden="1" customWidth="1"/>
    <col min="23" max="23" width="10" style="37" hidden="1" customWidth="1"/>
    <col min="24" max="24" width="6.7109375" style="7" customWidth="1"/>
    <col min="25" max="25" width="10.140625" style="8" hidden="1" customWidth="1"/>
    <col min="26" max="26" width="8.85546875" style="8" hidden="1" customWidth="1"/>
    <col min="27" max="32" width="6.7109375" style="8" hidden="1" customWidth="1"/>
    <col min="33" max="33" width="8.85546875" style="8" hidden="1" customWidth="1"/>
    <col min="34" max="34" width="15.42578125" style="8" hidden="1" customWidth="1"/>
    <col min="35" max="36" width="0" style="8" hidden="1" customWidth="1"/>
    <col min="37" max="16384" width="8.85546875" style="7" hidden="1"/>
  </cols>
  <sheetData>
    <row r="1" spans="1:36" ht="21.75" customHeight="1" x14ac:dyDescent="0.2">
      <c r="A1" s="267"/>
      <c r="B1" s="281" t="s">
        <v>528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/>
      <c r="R1" s="268"/>
      <c r="S1" s="268"/>
      <c r="T1" s="268"/>
      <c r="U1" s="268"/>
      <c r="V1" s="268"/>
      <c r="W1" s="268"/>
      <c r="X1" s="270"/>
      <c r="Y1" s="282"/>
    </row>
    <row r="2" spans="1:36" ht="122.25" customHeight="1" x14ac:dyDescent="0.2">
      <c r="A2" s="271"/>
      <c r="B2" s="741" t="s">
        <v>504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36"/>
      <c r="P2" s="36"/>
      <c r="Q2" s="264"/>
      <c r="R2" s="36"/>
      <c r="S2" s="36"/>
      <c r="T2" s="36"/>
      <c r="U2" s="36"/>
      <c r="V2" s="36"/>
      <c r="W2" s="36"/>
      <c r="X2" s="272"/>
    </row>
    <row r="3" spans="1:36" s="38" customFormat="1" ht="30" customHeight="1" x14ac:dyDescent="0.2">
      <c r="A3" s="273"/>
      <c r="B3" s="338"/>
      <c r="C3" s="158" t="s">
        <v>591</v>
      </c>
      <c r="D3" s="339"/>
      <c r="E3" s="339"/>
      <c r="F3" s="339"/>
      <c r="G3" s="339"/>
      <c r="H3" s="340"/>
      <c r="I3" s="158"/>
      <c r="J3" s="339"/>
      <c r="K3" s="339"/>
      <c r="L3" s="339"/>
      <c r="M3" s="527"/>
      <c r="N3" s="528" t="s">
        <v>614</v>
      </c>
      <c r="O3" s="246"/>
      <c r="P3" s="246"/>
      <c r="Q3" s="264"/>
      <c r="R3" s="246"/>
      <c r="S3" s="246"/>
      <c r="T3" s="246"/>
      <c r="U3" s="246"/>
      <c r="V3" s="246"/>
      <c r="W3" s="246"/>
      <c r="X3" s="274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</row>
    <row r="4" spans="1:36" ht="10.5" customHeight="1" x14ac:dyDescent="0.2">
      <c r="A4" s="271"/>
      <c r="B4" s="36"/>
      <c r="C4" s="124"/>
      <c r="D4" s="124"/>
      <c r="E4" s="124"/>
      <c r="F4" s="124"/>
      <c r="G4" s="124"/>
      <c r="H4" s="36"/>
      <c r="I4" s="36"/>
      <c r="J4" s="36"/>
      <c r="K4" s="36"/>
      <c r="L4" s="36"/>
      <c r="M4" s="36"/>
      <c r="N4" s="36"/>
      <c r="O4" s="36"/>
      <c r="P4" s="36"/>
      <c r="Q4" s="264"/>
      <c r="R4" s="36"/>
      <c r="S4" s="36"/>
      <c r="T4" s="36"/>
      <c r="U4" s="36"/>
      <c r="V4" s="36"/>
      <c r="W4" s="36"/>
      <c r="X4" s="272"/>
    </row>
    <row r="5" spans="1:36" ht="44.25" customHeight="1" x14ac:dyDescent="0.2">
      <c r="A5" s="271"/>
      <c r="B5" s="757" t="s">
        <v>245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9"/>
      <c r="O5" s="36"/>
      <c r="P5" s="36"/>
      <c r="Q5" s="264"/>
      <c r="R5" s="36"/>
      <c r="S5" s="36"/>
      <c r="T5" s="36"/>
      <c r="U5" s="36"/>
      <c r="V5" s="36"/>
      <c r="W5" s="36"/>
      <c r="X5" s="272"/>
    </row>
    <row r="6" spans="1:36" ht="11.25" customHeight="1" x14ac:dyDescent="0.2">
      <c r="A6" s="271"/>
      <c r="B6" s="36"/>
      <c r="C6" s="124"/>
      <c r="D6" s="124"/>
      <c r="E6" s="124"/>
      <c r="F6" s="124"/>
      <c r="G6" s="124"/>
      <c r="H6" s="36"/>
      <c r="I6" s="36"/>
      <c r="J6" s="36"/>
      <c r="K6" s="36"/>
      <c r="L6" s="36"/>
      <c r="M6" s="36"/>
      <c r="N6" s="36"/>
      <c r="O6" s="36"/>
      <c r="P6" s="36"/>
      <c r="Q6" s="264"/>
      <c r="R6" s="36"/>
      <c r="S6" s="36"/>
      <c r="T6" s="36"/>
      <c r="U6" s="36"/>
      <c r="V6" s="36"/>
      <c r="W6" s="36"/>
      <c r="X6" s="272"/>
    </row>
    <row r="7" spans="1:36" ht="14.1" customHeight="1" x14ac:dyDescent="0.2">
      <c r="A7" s="271"/>
      <c r="B7" s="760" t="s">
        <v>12</v>
      </c>
      <c r="C7" s="761" t="s">
        <v>111</v>
      </c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36"/>
      <c r="P7" s="36"/>
      <c r="Q7" s="264"/>
      <c r="R7" s="36"/>
      <c r="S7" s="36"/>
      <c r="T7" s="36"/>
      <c r="U7" s="36"/>
      <c r="V7" s="36"/>
      <c r="W7" s="36"/>
      <c r="X7" s="272"/>
    </row>
    <row r="8" spans="1:36" ht="14.1" customHeight="1" x14ac:dyDescent="0.2">
      <c r="A8" s="271"/>
      <c r="B8" s="760"/>
      <c r="C8" s="761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36"/>
      <c r="P8" s="36"/>
      <c r="Q8" s="264"/>
      <c r="R8" s="36"/>
      <c r="S8" s="36"/>
      <c r="T8" s="36"/>
      <c r="U8" s="36"/>
      <c r="V8" s="36"/>
      <c r="W8" s="36"/>
      <c r="X8" s="272"/>
    </row>
    <row r="9" spans="1:36" ht="14.1" customHeight="1" x14ac:dyDescent="0.2">
      <c r="A9" s="271"/>
      <c r="B9" s="760"/>
      <c r="C9" s="761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36"/>
      <c r="P9" s="36"/>
      <c r="Q9" s="264"/>
      <c r="R9" s="36"/>
      <c r="S9" s="36"/>
      <c r="T9" s="36"/>
      <c r="U9" s="36"/>
      <c r="V9" s="36"/>
      <c r="W9" s="36"/>
      <c r="X9" s="272"/>
    </row>
    <row r="10" spans="1:36" ht="19.5" customHeight="1" x14ac:dyDescent="0.2">
      <c r="A10" s="27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264"/>
      <c r="R10" s="36"/>
      <c r="S10" s="36"/>
      <c r="T10" s="36"/>
      <c r="U10" s="36"/>
      <c r="V10" s="36"/>
      <c r="W10" s="36"/>
      <c r="X10" s="272"/>
    </row>
    <row r="11" spans="1:36" ht="25.5" customHeight="1" x14ac:dyDescent="0.2">
      <c r="A11" s="271"/>
      <c r="B11" s="36"/>
      <c r="C11" s="519" t="s">
        <v>106</v>
      </c>
      <c r="D11" s="750" t="s">
        <v>572</v>
      </c>
      <c r="E11" s="751"/>
      <c r="F11" s="752"/>
      <c r="G11" s="739" t="s">
        <v>509</v>
      </c>
      <c r="H11" s="740"/>
      <c r="I11" s="44"/>
      <c r="J11" s="766" t="s">
        <v>573</v>
      </c>
      <c r="K11" s="767"/>
      <c r="L11" s="767"/>
      <c r="M11" s="767"/>
      <c r="N11" s="768"/>
      <c r="O11" s="289"/>
      <c r="P11" s="168"/>
      <c r="Q11" s="523"/>
      <c r="R11" s="168"/>
      <c r="S11" s="36"/>
      <c r="T11" s="36"/>
      <c r="U11" s="36"/>
      <c r="V11" s="36"/>
      <c r="W11" s="36"/>
      <c r="X11" s="272"/>
    </row>
    <row r="12" spans="1:36" ht="10.5" customHeight="1" x14ac:dyDescent="0.3">
      <c r="A12" s="271"/>
      <c r="B12" s="36"/>
      <c r="C12" s="125"/>
      <c r="D12" s="39"/>
      <c r="E12" s="39"/>
      <c r="F12" s="39"/>
      <c r="G12" s="126"/>
      <c r="H12" s="40"/>
      <c r="I12" s="40"/>
      <c r="J12" s="39"/>
      <c r="K12" s="41"/>
      <c r="L12" s="42"/>
      <c r="M12" s="43"/>
      <c r="N12" s="43"/>
      <c r="O12" s="177"/>
      <c r="P12" s="177"/>
      <c r="Q12" s="265"/>
      <c r="R12" s="177"/>
      <c r="S12" s="36"/>
      <c r="T12" s="36"/>
      <c r="U12" s="36"/>
      <c r="V12" s="36"/>
      <c r="W12" s="36"/>
      <c r="X12" s="272"/>
    </row>
    <row r="13" spans="1:36" ht="28.5" customHeight="1" x14ac:dyDescent="0.2">
      <c r="A13" s="271"/>
      <c r="B13" s="36"/>
      <c r="C13" s="519" t="s">
        <v>112</v>
      </c>
      <c r="D13" s="750" t="s">
        <v>573</v>
      </c>
      <c r="E13" s="751"/>
      <c r="F13" s="752"/>
      <c r="G13" s="311"/>
      <c r="H13" s="745" t="s">
        <v>287</v>
      </c>
      <c r="I13" s="44" t="s">
        <v>10</v>
      </c>
      <c r="J13" s="310" t="s">
        <v>243</v>
      </c>
      <c r="K13" s="747"/>
      <c r="L13" s="748"/>
      <c r="M13" s="748"/>
      <c r="N13" s="749"/>
      <c r="O13" s="36"/>
      <c r="P13" s="36"/>
      <c r="Q13" s="264"/>
      <c r="R13" s="36"/>
      <c r="S13" s="36"/>
      <c r="T13" s="36"/>
      <c r="U13" s="36"/>
      <c r="V13" s="36"/>
      <c r="W13" s="36"/>
      <c r="X13" s="272"/>
    </row>
    <row r="14" spans="1:36" ht="25.5" customHeight="1" x14ac:dyDescent="0.2">
      <c r="A14" s="271"/>
      <c r="B14" s="36"/>
      <c r="C14" s="45"/>
      <c r="D14" s="40"/>
      <c r="E14" s="40"/>
      <c r="F14" s="40"/>
      <c r="G14" s="46"/>
      <c r="H14" s="746"/>
      <c r="I14" s="47" t="s">
        <v>11</v>
      </c>
      <c r="J14" s="310" t="s">
        <v>244</v>
      </c>
      <c r="K14" s="747"/>
      <c r="L14" s="748"/>
      <c r="M14" s="748"/>
      <c r="N14" s="749"/>
      <c r="O14" s="36"/>
      <c r="P14" s="36"/>
      <c r="Q14" s="264"/>
      <c r="R14" s="36"/>
      <c r="S14" s="36"/>
      <c r="T14" s="36"/>
      <c r="U14" s="36"/>
      <c r="V14" s="36"/>
      <c r="W14" s="36"/>
      <c r="X14" s="272"/>
    </row>
    <row r="15" spans="1:36" s="9" customFormat="1" ht="8.25" customHeight="1" x14ac:dyDescent="0.2">
      <c r="A15" s="271"/>
      <c r="B15" s="36"/>
      <c r="C15" s="45"/>
      <c r="D15" s="40"/>
      <c r="E15" s="40"/>
      <c r="F15" s="40"/>
      <c r="G15" s="46"/>
      <c r="H15" s="46"/>
      <c r="I15" s="40"/>
      <c r="J15" s="40"/>
      <c r="K15" s="40"/>
      <c r="L15" s="40"/>
      <c r="M15" s="40"/>
      <c r="N15" s="40"/>
      <c r="O15" s="36"/>
      <c r="P15" s="36"/>
      <c r="Q15" s="264"/>
      <c r="R15" s="36"/>
      <c r="S15" s="36"/>
      <c r="T15" s="36"/>
      <c r="U15" s="36"/>
      <c r="V15" s="36"/>
      <c r="W15" s="36"/>
      <c r="X15" s="27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</row>
    <row r="16" spans="1:36" ht="25.5" customHeight="1" x14ac:dyDescent="0.2">
      <c r="A16" s="271"/>
      <c r="B16" s="36"/>
      <c r="C16" s="519" t="s">
        <v>113</v>
      </c>
      <c r="D16" s="750"/>
      <c r="E16" s="751"/>
      <c r="F16" s="751"/>
      <c r="G16" s="751"/>
      <c r="H16" s="751"/>
      <c r="I16" s="751"/>
      <c r="J16" s="751"/>
      <c r="K16" s="751"/>
      <c r="L16" s="751"/>
      <c r="M16" s="751"/>
      <c r="N16" s="752"/>
      <c r="O16" s="36"/>
      <c r="P16" s="36"/>
      <c r="Q16" s="264"/>
      <c r="R16" s="36"/>
      <c r="S16" s="36"/>
      <c r="T16" s="36"/>
      <c r="U16" s="36"/>
      <c r="V16" s="36"/>
      <c r="W16" s="36"/>
      <c r="X16" s="272"/>
    </row>
    <row r="17" spans="1:34" ht="14.25" customHeight="1" x14ac:dyDescent="0.2">
      <c r="A17" s="271"/>
      <c r="B17" s="36"/>
      <c r="C17" s="45"/>
      <c r="D17" s="39"/>
      <c r="E17" s="39"/>
      <c r="F17" s="39"/>
      <c r="G17" s="49"/>
      <c r="H17" s="49"/>
      <c r="I17" s="48"/>
      <c r="J17" s="39"/>
      <c r="K17" s="39"/>
      <c r="L17" s="39"/>
      <c r="M17" s="39"/>
      <c r="N17" s="39"/>
      <c r="O17" s="36"/>
      <c r="P17" s="36"/>
      <c r="Q17" s="264"/>
      <c r="R17" s="36"/>
      <c r="S17" s="36"/>
      <c r="T17" s="36"/>
      <c r="U17" s="36"/>
      <c r="V17" s="36"/>
      <c r="W17" s="36"/>
      <c r="X17" s="272"/>
    </row>
    <row r="18" spans="1:34" ht="26.25" customHeight="1" x14ac:dyDescent="0.2">
      <c r="A18" s="271"/>
      <c r="B18" s="36"/>
      <c r="C18" s="519" t="s">
        <v>177</v>
      </c>
      <c r="D18" s="750"/>
      <c r="E18" s="751"/>
      <c r="F18" s="751"/>
      <c r="G18" s="751"/>
      <c r="H18" s="751"/>
      <c r="I18" s="751"/>
      <c r="J18" s="751"/>
      <c r="K18" s="751"/>
      <c r="L18" s="751"/>
      <c r="M18" s="751"/>
      <c r="N18" s="752"/>
      <c r="O18" s="36"/>
      <c r="P18" s="36"/>
      <c r="Q18" s="264"/>
      <c r="R18" s="36"/>
      <c r="S18" s="36"/>
      <c r="T18" s="36"/>
      <c r="U18" s="36"/>
      <c r="V18" s="36"/>
      <c r="W18" s="36"/>
      <c r="X18" s="272"/>
    </row>
    <row r="19" spans="1:34" ht="9" customHeight="1" x14ac:dyDescent="0.2">
      <c r="A19" s="271"/>
      <c r="B19" s="36"/>
      <c r="C19" s="45"/>
      <c r="D19" s="39"/>
      <c r="E19" s="39"/>
      <c r="F19" s="39"/>
      <c r="G19" s="49"/>
      <c r="H19" s="49"/>
      <c r="I19" s="39"/>
      <c r="J19" s="50"/>
      <c r="K19" s="50"/>
      <c r="L19" s="50"/>
      <c r="M19" s="50"/>
      <c r="N19" s="50"/>
      <c r="O19" s="36"/>
      <c r="P19" s="36"/>
      <c r="Q19" s="264"/>
      <c r="R19" s="36"/>
      <c r="S19" s="36"/>
      <c r="T19" s="36"/>
      <c r="U19" s="36"/>
      <c r="V19" s="36"/>
      <c r="W19" s="36"/>
      <c r="X19" s="272"/>
    </row>
    <row r="20" spans="1:34" ht="38.25" customHeight="1" x14ac:dyDescent="0.2">
      <c r="A20" s="271"/>
      <c r="B20" s="36"/>
      <c r="C20" s="519" t="s">
        <v>448</v>
      </c>
      <c r="D20" s="763"/>
      <c r="E20" s="764"/>
      <c r="F20" s="764"/>
      <c r="G20" s="764"/>
      <c r="H20" s="764"/>
      <c r="I20" s="764"/>
      <c r="J20" s="764"/>
      <c r="K20" s="764"/>
      <c r="L20" s="764"/>
      <c r="M20" s="764"/>
      <c r="N20" s="765"/>
      <c r="O20" s="36"/>
      <c r="P20" s="36"/>
      <c r="Q20" s="264"/>
      <c r="R20" s="36"/>
      <c r="S20" s="36"/>
      <c r="T20" s="36"/>
      <c r="U20" s="36"/>
      <c r="V20" s="36"/>
      <c r="W20" s="36"/>
      <c r="X20" s="272"/>
    </row>
    <row r="21" spans="1:34" s="8" customFormat="1" ht="15" customHeight="1" x14ac:dyDescent="0.2">
      <c r="A21" s="271"/>
      <c r="B21" s="36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36"/>
      <c r="P21" s="36"/>
      <c r="Q21" s="264"/>
      <c r="R21" s="36"/>
      <c r="S21" s="36"/>
      <c r="T21" s="36"/>
      <c r="U21" s="36"/>
      <c r="V21" s="36"/>
      <c r="W21" s="36"/>
      <c r="X21" s="272"/>
    </row>
    <row r="22" spans="1:34" s="8" customFormat="1" ht="14.1" customHeight="1" x14ac:dyDescent="0.2">
      <c r="A22" s="271"/>
      <c r="B22" s="760" t="s">
        <v>13</v>
      </c>
      <c r="C22" s="770" t="s">
        <v>115</v>
      </c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2"/>
      <c r="O22" s="36"/>
      <c r="P22" s="36"/>
      <c r="Q22" s="264"/>
      <c r="R22" s="36"/>
      <c r="S22" s="36"/>
      <c r="T22" s="36"/>
      <c r="U22" s="36"/>
      <c r="V22" s="36"/>
      <c r="W22" s="36"/>
      <c r="X22" s="272"/>
    </row>
    <row r="23" spans="1:34" s="8" customFormat="1" ht="14.1" customHeight="1" x14ac:dyDescent="0.2">
      <c r="A23" s="271"/>
      <c r="B23" s="760"/>
      <c r="C23" s="761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73"/>
      <c r="O23" s="36"/>
      <c r="P23" s="36"/>
      <c r="Q23" s="264"/>
      <c r="R23" s="36"/>
      <c r="S23" s="36"/>
      <c r="T23" s="36"/>
      <c r="U23" s="36"/>
      <c r="V23" s="36"/>
      <c r="W23" s="36"/>
      <c r="X23" s="272"/>
    </row>
    <row r="24" spans="1:34" s="8" customFormat="1" ht="14.1" customHeight="1" x14ac:dyDescent="0.2">
      <c r="A24" s="271"/>
      <c r="B24" s="760"/>
      <c r="C24" s="774"/>
      <c r="D24" s="775"/>
      <c r="E24" s="775"/>
      <c r="F24" s="775"/>
      <c r="G24" s="775"/>
      <c r="H24" s="775"/>
      <c r="I24" s="775"/>
      <c r="J24" s="775"/>
      <c r="K24" s="775"/>
      <c r="L24" s="775"/>
      <c r="M24" s="775"/>
      <c r="N24" s="776"/>
      <c r="O24" s="36"/>
      <c r="P24" s="36"/>
      <c r="Q24" s="264"/>
      <c r="R24" s="36"/>
      <c r="S24" s="36"/>
      <c r="T24" s="36"/>
      <c r="U24" s="36"/>
      <c r="V24" s="36"/>
      <c r="W24" s="36"/>
      <c r="X24" s="272"/>
    </row>
    <row r="25" spans="1:34" ht="15.75" customHeight="1" x14ac:dyDescent="0.2">
      <c r="A25" s="27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264"/>
      <c r="R25" s="36"/>
      <c r="S25" s="36"/>
      <c r="T25" s="36"/>
      <c r="U25" s="36"/>
      <c r="V25" s="36"/>
      <c r="W25" s="36"/>
      <c r="X25" s="272"/>
    </row>
    <row r="26" spans="1:34" ht="7.5" customHeight="1" x14ac:dyDescent="0.2">
      <c r="A26" s="271"/>
      <c r="B26" s="795" t="s">
        <v>14</v>
      </c>
      <c r="C26" s="799" t="s">
        <v>114</v>
      </c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36"/>
      <c r="P26" s="36"/>
      <c r="Q26" s="264"/>
      <c r="R26" s="36"/>
      <c r="S26" s="36"/>
      <c r="T26" s="36"/>
      <c r="U26" s="36"/>
      <c r="V26" s="36"/>
      <c r="W26" s="36"/>
      <c r="X26" s="272"/>
    </row>
    <row r="27" spans="1:34" ht="7.5" customHeight="1" x14ac:dyDescent="0.2">
      <c r="A27" s="271"/>
      <c r="B27" s="795"/>
      <c r="C27" s="799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36"/>
      <c r="P27" s="36"/>
      <c r="Q27" s="264"/>
      <c r="R27" s="36"/>
      <c r="S27" s="36"/>
      <c r="T27" s="36"/>
      <c r="U27" s="36"/>
      <c r="V27" s="36"/>
      <c r="W27" s="36"/>
      <c r="X27" s="272"/>
    </row>
    <row r="28" spans="1:34" ht="7.5" customHeight="1" x14ac:dyDescent="0.2">
      <c r="A28" s="271"/>
      <c r="B28" s="795"/>
      <c r="C28" s="799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171"/>
      <c r="P28" s="171"/>
      <c r="Q28" s="265"/>
      <c r="R28" s="177"/>
      <c r="S28" s="36"/>
      <c r="T28" s="36"/>
      <c r="U28" s="36"/>
      <c r="V28" s="36"/>
      <c r="W28" s="36"/>
      <c r="X28" s="272"/>
      <c r="AA28" s="284"/>
      <c r="AB28" s="284"/>
      <c r="AC28" s="284"/>
      <c r="AD28" s="284"/>
      <c r="AE28" s="284"/>
      <c r="AF28" s="284"/>
      <c r="AG28" s="284"/>
      <c r="AH28" s="282"/>
    </row>
    <row r="29" spans="1:34" ht="9.75" customHeight="1" x14ac:dyDescent="0.2">
      <c r="A29" s="271"/>
      <c r="B29" s="173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71"/>
      <c r="P29" s="171"/>
      <c r="Q29" s="265"/>
      <c r="R29" s="177"/>
      <c r="S29" s="36"/>
      <c r="T29" s="36"/>
      <c r="U29" s="36"/>
      <c r="V29" s="36"/>
      <c r="W29" s="36"/>
      <c r="X29" s="272"/>
      <c r="AA29" s="284"/>
      <c r="AB29" s="284"/>
      <c r="AC29" s="284"/>
      <c r="AD29" s="284"/>
      <c r="AE29" s="284"/>
      <c r="AF29" s="284"/>
      <c r="AG29" s="284"/>
      <c r="AH29" s="282"/>
    </row>
    <row r="30" spans="1:34" ht="28.5" customHeight="1" x14ac:dyDescent="0.2">
      <c r="A30" s="271"/>
      <c r="B30" s="36"/>
      <c r="C30" s="787" t="s">
        <v>228</v>
      </c>
      <c r="D30" s="787"/>
      <c r="E30" s="787"/>
      <c r="F30" s="787"/>
      <c r="G30" s="787"/>
      <c r="H30" s="787"/>
      <c r="I30" s="787"/>
      <c r="J30" s="788"/>
      <c r="K30" s="483" t="s">
        <v>178</v>
      </c>
      <c r="L30" s="532"/>
      <c r="M30" s="128"/>
      <c r="N30" s="128"/>
      <c r="O30" s="168"/>
      <c r="P30" s="168"/>
      <c r="Q30" s="523"/>
      <c r="R30" s="253" t="str">
        <f>IF(L30="","",1)</f>
        <v/>
      </c>
      <c r="S30" s="36"/>
      <c r="T30" s="36"/>
      <c r="U30" s="36"/>
      <c r="V30" s="36"/>
      <c r="W30" s="36"/>
      <c r="X30" s="272"/>
    </row>
    <row r="31" spans="1:34" ht="30" customHeight="1" x14ac:dyDescent="0.45">
      <c r="A31" s="271"/>
      <c r="B31" s="36"/>
      <c r="C31" s="787"/>
      <c r="D31" s="787"/>
      <c r="E31" s="787"/>
      <c r="F31" s="787"/>
      <c r="G31" s="787"/>
      <c r="H31" s="787"/>
      <c r="I31" s="787"/>
      <c r="J31" s="788"/>
      <c r="K31" s="522" t="s">
        <v>15</v>
      </c>
      <c r="L31" s="533"/>
      <c r="M31" s="36"/>
      <c r="N31" s="36"/>
      <c r="O31" s="36"/>
      <c r="P31" s="36"/>
      <c r="Q31" s="264"/>
      <c r="R31" s="54"/>
      <c r="S31" s="36"/>
      <c r="T31" s="36"/>
      <c r="U31" s="36"/>
      <c r="V31" s="36"/>
      <c r="W31" s="36"/>
      <c r="X31" s="272"/>
    </row>
    <row r="32" spans="1:34" ht="12" customHeight="1" x14ac:dyDescent="0.2">
      <c r="A32" s="271"/>
      <c r="B32" s="36"/>
      <c r="C32" s="36"/>
      <c r="D32" s="36"/>
      <c r="E32" s="36"/>
      <c r="F32" s="36"/>
      <c r="G32" s="36"/>
      <c r="H32" s="36"/>
      <c r="I32" s="36"/>
      <c r="J32" s="54"/>
      <c r="K32" s="786" t="str">
        <f>IF(L30&lt;&gt;"","Please, proceed to the sheet REPETITIVE-MOV","")</f>
        <v/>
      </c>
      <c r="L32" s="786"/>
      <c r="M32" s="786"/>
      <c r="N32" s="786"/>
      <c r="O32" s="36"/>
      <c r="P32" s="36"/>
      <c r="Q32" s="264"/>
      <c r="R32" s="54"/>
      <c r="S32" s="36"/>
      <c r="T32" s="36"/>
      <c r="U32" s="36"/>
      <c r="V32" s="36"/>
      <c r="W32" s="36"/>
      <c r="X32" s="272"/>
    </row>
    <row r="33" spans="1:36" ht="15" customHeight="1" x14ac:dyDescent="0.2">
      <c r="A33" s="271"/>
      <c r="B33" s="36"/>
      <c r="C33" s="36"/>
      <c r="D33" s="36"/>
      <c r="E33" s="36"/>
      <c r="F33" s="36"/>
      <c r="G33" s="36"/>
      <c r="H33" s="36"/>
      <c r="I33" s="36"/>
      <c r="J33" s="36"/>
      <c r="K33" s="786"/>
      <c r="L33" s="786"/>
      <c r="M33" s="786"/>
      <c r="N33" s="786"/>
      <c r="O33" s="36"/>
      <c r="P33" s="36"/>
      <c r="Q33" s="264"/>
      <c r="R33" s="54"/>
      <c r="S33" s="36"/>
      <c r="T33" s="36"/>
      <c r="U33" s="36"/>
      <c r="V33" s="36"/>
      <c r="W33" s="36"/>
      <c r="X33" s="272"/>
    </row>
    <row r="34" spans="1:36" s="10" customFormat="1" ht="11.25" customHeight="1" x14ac:dyDescent="0.2">
      <c r="A34" s="275"/>
      <c r="B34" s="795" t="s">
        <v>16</v>
      </c>
      <c r="C34" s="800" t="s">
        <v>179</v>
      </c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169"/>
      <c r="P34" s="169"/>
      <c r="Q34" s="264"/>
      <c r="R34" s="54"/>
      <c r="S34" s="169"/>
      <c r="T34" s="169"/>
      <c r="U34" s="169"/>
      <c r="V34" s="169"/>
      <c r="W34" s="169"/>
      <c r="X34" s="276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</row>
    <row r="35" spans="1:36" s="10" customFormat="1" ht="8.25" customHeight="1" x14ac:dyDescent="0.2">
      <c r="A35" s="275"/>
      <c r="B35" s="795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169"/>
      <c r="P35" s="169"/>
      <c r="Q35" s="264"/>
      <c r="R35" s="54"/>
      <c r="S35" s="169"/>
      <c r="T35" s="169"/>
      <c r="U35" s="169"/>
      <c r="V35" s="169"/>
      <c r="W35" s="169"/>
      <c r="X35" s="276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</row>
    <row r="36" spans="1:36" s="10" customFormat="1" ht="8.25" customHeight="1" x14ac:dyDescent="0.2">
      <c r="A36" s="275"/>
      <c r="B36" s="795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169"/>
      <c r="P36" s="169"/>
      <c r="Q36" s="264"/>
      <c r="R36" s="54"/>
      <c r="S36" s="169"/>
      <c r="T36" s="169"/>
      <c r="U36" s="169"/>
      <c r="V36" s="169"/>
      <c r="W36" s="169"/>
      <c r="X36" s="276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</row>
    <row r="37" spans="1:36" s="8" customFormat="1" ht="7.5" customHeight="1" x14ac:dyDescent="0.2">
      <c r="A37" s="271"/>
      <c r="B37" s="173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36"/>
      <c r="P37" s="36"/>
      <c r="Q37" s="264"/>
      <c r="R37" s="54"/>
      <c r="S37" s="36"/>
      <c r="T37" s="36"/>
      <c r="U37" s="36"/>
      <c r="V37" s="36"/>
      <c r="W37" s="36"/>
      <c r="X37" s="272"/>
    </row>
    <row r="38" spans="1:36" ht="24" customHeight="1" x14ac:dyDescent="0.2">
      <c r="A38" s="271"/>
      <c r="B38" s="36"/>
      <c r="C38" s="787" t="s">
        <v>229</v>
      </c>
      <c r="D38" s="787"/>
      <c r="E38" s="787"/>
      <c r="F38" s="787"/>
      <c r="G38" s="787"/>
      <c r="H38" s="787"/>
      <c r="I38" s="787"/>
      <c r="J38" s="788"/>
      <c r="K38" s="483" t="s">
        <v>60</v>
      </c>
      <c r="L38" s="532"/>
      <c r="M38" s="36"/>
      <c r="N38" s="36"/>
      <c r="O38" s="36"/>
      <c r="P38" s="36"/>
      <c r="Q38" s="264"/>
      <c r="R38" s="253" t="str">
        <f>IF(L38="","",1)</f>
        <v/>
      </c>
      <c r="S38" s="36"/>
      <c r="T38" s="36"/>
      <c r="U38" s="36"/>
      <c r="V38" s="36"/>
      <c r="W38" s="36"/>
      <c r="X38" s="272"/>
    </row>
    <row r="39" spans="1:36" ht="22.5" customHeight="1" x14ac:dyDescent="0.2">
      <c r="A39" s="271"/>
      <c r="B39" s="36"/>
      <c r="C39" s="787"/>
      <c r="D39" s="787"/>
      <c r="E39" s="787"/>
      <c r="F39" s="787"/>
      <c r="G39" s="787"/>
      <c r="H39" s="787"/>
      <c r="I39" s="787"/>
      <c r="J39" s="788"/>
      <c r="K39" s="522" t="s">
        <v>15</v>
      </c>
      <c r="L39" s="532"/>
      <c r="M39" s="36"/>
      <c r="N39" s="36"/>
      <c r="O39" s="36"/>
      <c r="P39" s="36"/>
      <c r="Q39" s="264"/>
      <c r="R39" s="54"/>
      <c r="S39" s="36"/>
      <c r="T39" s="36"/>
      <c r="U39" s="36"/>
      <c r="V39" s="36"/>
      <c r="W39" s="36"/>
      <c r="X39" s="272"/>
    </row>
    <row r="40" spans="1:36" ht="26.25" customHeight="1" x14ac:dyDescent="0.2">
      <c r="A40" s="271"/>
      <c r="B40" s="36"/>
      <c r="C40" s="36"/>
      <c r="D40" s="36"/>
      <c r="E40" s="36"/>
      <c r="F40" s="36"/>
      <c r="G40" s="36"/>
      <c r="H40" s="36"/>
      <c r="I40" s="36"/>
      <c r="J40" s="54"/>
      <c r="K40" s="786" t="str">
        <f>IF(L38&lt;&gt;"","Please, proceed to the sheet MANUAL HANDLING","")</f>
        <v/>
      </c>
      <c r="L40" s="786"/>
      <c r="M40" s="786"/>
      <c r="N40" s="786"/>
      <c r="O40" s="36"/>
      <c r="P40" s="36"/>
      <c r="Q40" s="264"/>
      <c r="R40" s="54"/>
      <c r="S40" s="36"/>
      <c r="T40" s="36"/>
      <c r="U40" s="36"/>
      <c r="V40" s="36"/>
      <c r="W40" s="36"/>
      <c r="X40" s="272"/>
    </row>
    <row r="41" spans="1:36" ht="9.75" hidden="1" customHeight="1" x14ac:dyDescent="0.2">
      <c r="A41" s="271"/>
      <c r="B41" s="36"/>
      <c r="C41" s="36"/>
      <c r="D41" s="36"/>
      <c r="E41" s="36"/>
      <c r="F41" s="36"/>
      <c r="G41" s="36"/>
      <c r="H41" s="36"/>
      <c r="I41" s="36"/>
      <c r="J41" s="36"/>
      <c r="K41" s="786"/>
      <c r="L41" s="786"/>
      <c r="M41" s="786"/>
      <c r="N41" s="786"/>
      <c r="O41" s="36"/>
      <c r="P41" s="36"/>
      <c r="Q41" s="264"/>
      <c r="R41" s="54"/>
      <c r="S41" s="36"/>
      <c r="T41" s="36"/>
      <c r="U41" s="36"/>
      <c r="V41" s="36"/>
      <c r="W41" s="36"/>
      <c r="X41" s="272"/>
    </row>
    <row r="42" spans="1:36" s="8" customFormat="1" ht="9" customHeight="1" x14ac:dyDescent="0.2">
      <c r="A42" s="271"/>
      <c r="B42" s="795" t="s">
        <v>17</v>
      </c>
      <c r="C42" s="799" t="s">
        <v>180</v>
      </c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36"/>
      <c r="P42" s="36"/>
      <c r="Q42" s="264"/>
      <c r="R42" s="54"/>
      <c r="S42" s="36"/>
      <c r="T42" s="36"/>
      <c r="U42" s="36"/>
      <c r="V42" s="36"/>
      <c r="W42" s="36"/>
      <c r="X42" s="272"/>
    </row>
    <row r="43" spans="1:36" ht="9" customHeight="1" x14ac:dyDescent="0.2">
      <c r="A43" s="271"/>
      <c r="B43" s="795"/>
      <c r="C43" s="799"/>
      <c r="D43" s="80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36"/>
      <c r="P43" s="36"/>
      <c r="Q43" s="264"/>
      <c r="R43" s="54"/>
      <c r="S43" s="36"/>
      <c r="T43" s="36"/>
      <c r="U43" s="36"/>
      <c r="V43" s="36"/>
      <c r="W43" s="36"/>
      <c r="X43" s="272"/>
    </row>
    <row r="44" spans="1:36" ht="9" customHeight="1" x14ac:dyDescent="0.2">
      <c r="A44" s="271"/>
      <c r="B44" s="795"/>
      <c r="C44" s="799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36"/>
      <c r="P44" s="36"/>
      <c r="Q44" s="264"/>
      <c r="R44" s="54"/>
      <c r="S44" s="36"/>
      <c r="T44" s="36"/>
      <c r="U44" s="36"/>
      <c r="V44" s="36"/>
      <c r="W44" s="36"/>
      <c r="X44" s="272"/>
    </row>
    <row r="45" spans="1:36" ht="19.5" customHeight="1" x14ac:dyDescent="0.4">
      <c r="A45" s="271"/>
      <c r="B45" s="36"/>
      <c r="C45" s="33"/>
      <c r="D45" s="34"/>
      <c r="E45" s="34"/>
      <c r="F45" s="34"/>
      <c r="G45" s="34"/>
      <c r="H45" s="56"/>
      <c r="I45" s="57"/>
      <c r="J45" s="36"/>
      <c r="K45" s="56"/>
      <c r="L45" s="58"/>
      <c r="M45" s="36"/>
      <c r="N45" s="56"/>
      <c r="O45" s="36"/>
      <c r="P45" s="36"/>
      <c r="Q45" s="264"/>
      <c r="R45" s="54"/>
      <c r="S45" s="36"/>
      <c r="T45" s="36"/>
      <c r="U45" s="36"/>
      <c r="V45" s="36"/>
      <c r="W45" s="36"/>
      <c r="X45" s="272"/>
    </row>
    <row r="46" spans="1:36" ht="27" customHeight="1" x14ac:dyDescent="0.2">
      <c r="A46" s="271"/>
      <c r="B46" s="36"/>
      <c r="C46" s="787" t="s">
        <v>181</v>
      </c>
      <c r="D46" s="787"/>
      <c r="E46" s="787"/>
      <c r="F46" s="787"/>
      <c r="G46" s="787"/>
      <c r="H46" s="787"/>
      <c r="I46" s="787"/>
      <c r="J46" s="788"/>
      <c r="K46" s="483" t="s">
        <v>60</v>
      </c>
      <c r="L46" s="532"/>
      <c r="M46" s="36"/>
      <c r="N46" s="36"/>
      <c r="O46" s="36"/>
      <c r="P46" s="36"/>
      <c r="Q46" s="264"/>
      <c r="R46" s="253" t="str">
        <f>IF(L46="","",1)</f>
        <v/>
      </c>
      <c r="S46" s="36"/>
      <c r="T46" s="36"/>
      <c r="U46" s="36"/>
      <c r="V46" s="36"/>
      <c r="W46" s="36"/>
      <c r="X46" s="272"/>
    </row>
    <row r="47" spans="1:36" ht="22.5" customHeight="1" x14ac:dyDescent="0.45">
      <c r="A47" s="271"/>
      <c r="B47" s="36"/>
      <c r="C47" s="787"/>
      <c r="D47" s="787"/>
      <c r="E47" s="787"/>
      <c r="F47" s="787"/>
      <c r="G47" s="787"/>
      <c r="H47" s="787"/>
      <c r="I47" s="787"/>
      <c r="J47" s="788"/>
      <c r="K47" s="522" t="s">
        <v>15</v>
      </c>
      <c r="L47" s="533"/>
      <c r="M47" s="36"/>
      <c r="N47" s="36"/>
      <c r="O47" s="36"/>
      <c r="P47" s="36"/>
      <c r="Q47" s="264"/>
      <c r="R47" s="54"/>
      <c r="S47" s="36"/>
      <c r="T47" s="36"/>
      <c r="U47" s="36"/>
      <c r="V47" s="36"/>
      <c r="W47" s="36"/>
      <c r="X47" s="272"/>
    </row>
    <row r="48" spans="1:36" s="8" customFormat="1" ht="19.5" customHeight="1" x14ac:dyDescent="0.2">
      <c r="A48" s="271"/>
      <c r="B48" s="36"/>
      <c r="C48" s="59"/>
      <c r="D48" s="59"/>
      <c r="E48" s="59"/>
      <c r="F48" s="59"/>
      <c r="G48" s="59"/>
      <c r="H48" s="59"/>
      <c r="I48" s="59"/>
      <c r="J48" s="54"/>
      <c r="K48" s="786" t="str">
        <f>IF(L46&lt;&gt;"","Please, proceed to the sheet MANUAL HANDLING","")</f>
        <v/>
      </c>
      <c r="L48" s="786"/>
      <c r="M48" s="786"/>
      <c r="N48" s="786"/>
      <c r="O48" s="36"/>
      <c r="P48" s="36"/>
      <c r="Q48" s="264"/>
      <c r="R48" s="54"/>
      <c r="S48" s="36"/>
      <c r="T48" s="36"/>
      <c r="U48" s="36"/>
      <c r="V48" s="36"/>
      <c r="W48" s="36"/>
      <c r="X48" s="272"/>
    </row>
    <row r="49" spans="1:24" s="8" customFormat="1" ht="9" customHeight="1" x14ac:dyDescent="0.2">
      <c r="A49" s="271"/>
      <c r="B49" s="36"/>
      <c r="C49" s="59"/>
      <c r="D49" s="59"/>
      <c r="E49" s="59"/>
      <c r="F49" s="59"/>
      <c r="G49" s="59"/>
      <c r="H49" s="59"/>
      <c r="I49" s="59"/>
      <c r="J49" s="59"/>
      <c r="K49" s="786"/>
      <c r="L49" s="786"/>
      <c r="M49" s="786"/>
      <c r="N49" s="786"/>
      <c r="O49" s="36"/>
      <c r="P49" s="36"/>
      <c r="Q49" s="264"/>
      <c r="R49" s="54"/>
      <c r="S49" s="36"/>
      <c r="T49" s="36"/>
      <c r="U49" s="36"/>
      <c r="V49" s="36"/>
      <c r="W49" s="36"/>
      <c r="X49" s="272"/>
    </row>
    <row r="50" spans="1:24" ht="7.5" customHeight="1" x14ac:dyDescent="0.2">
      <c r="A50" s="271"/>
      <c r="B50" s="795" t="s">
        <v>18</v>
      </c>
      <c r="C50" s="799" t="s">
        <v>201</v>
      </c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36"/>
      <c r="P50" s="36"/>
      <c r="Q50" s="264"/>
      <c r="R50" s="54"/>
      <c r="S50" s="36"/>
      <c r="T50" s="36"/>
      <c r="U50" s="36"/>
      <c r="V50" s="36"/>
      <c r="W50" s="36"/>
      <c r="X50" s="272"/>
    </row>
    <row r="51" spans="1:24" ht="7.5" customHeight="1" x14ac:dyDescent="0.2">
      <c r="A51" s="271"/>
      <c r="B51" s="795"/>
      <c r="C51" s="799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36"/>
      <c r="P51" s="36"/>
      <c r="Q51" s="264"/>
      <c r="R51" s="54"/>
      <c r="S51" s="36"/>
      <c r="T51" s="36"/>
      <c r="U51" s="36"/>
      <c r="V51" s="36"/>
      <c r="W51" s="36"/>
      <c r="X51" s="272"/>
    </row>
    <row r="52" spans="1:24" ht="9.75" customHeight="1" x14ac:dyDescent="0.2">
      <c r="A52" s="271"/>
      <c r="B52" s="795"/>
      <c r="C52" s="799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36"/>
      <c r="P52" s="36"/>
      <c r="Q52" s="264"/>
      <c r="R52" s="54"/>
      <c r="S52" s="36"/>
      <c r="T52" s="36"/>
      <c r="U52" s="36"/>
      <c r="V52" s="36"/>
      <c r="W52" s="36"/>
      <c r="X52" s="272"/>
    </row>
    <row r="53" spans="1:24" ht="11.25" customHeight="1" x14ac:dyDescent="0.2">
      <c r="A53" s="271"/>
      <c r="B53" s="173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36"/>
      <c r="P53" s="36"/>
      <c r="Q53" s="264"/>
      <c r="R53" s="54"/>
      <c r="S53" s="36"/>
      <c r="T53" s="36"/>
      <c r="U53" s="36"/>
      <c r="V53" s="36"/>
      <c r="W53" s="36"/>
      <c r="X53" s="272"/>
    </row>
    <row r="54" spans="1:24" ht="24" customHeight="1" x14ac:dyDescent="0.2">
      <c r="A54" s="271"/>
      <c r="B54" s="36"/>
      <c r="C54" s="787" t="s">
        <v>241</v>
      </c>
      <c r="D54" s="787"/>
      <c r="E54" s="787"/>
      <c r="F54" s="787"/>
      <c r="G54" s="787"/>
      <c r="H54" s="787"/>
      <c r="I54" s="787"/>
      <c r="J54" s="788"/>
      <c r="K54" s="483" t="s">
        <v>60</v>
      </c>
      <c r="L54" s="28"/>
      <c r="M54" s="36"/>
      <c r="N54" s="36"/>
      <c r="O54" s="36"/>
      <c r="P54" s="36"/>
      <c r="Q54" s="264"/>
      <c r="R54" s="253" t="str">
        <f>IF(L54="","",1)</f>
        <v/>
      </c>
      <c r="S54" s="36"/>
      <c r="T54" s="36"/>
      <c r="U54" s="36"/>
      <c r="V54" s="36"/>
      <c r="W54" s="36"/>
      <c r="X54" s="272"/>
    </row>
    <row r="55" spans="1:24" ht="21.75" customHeight="1" x14ac:dyDescent="0.45">
      <c r="A55" s="271"/>
      <c r="B55" s="36"/>
      <c r="C55" s="787"/>
      <c r="D55" s="787"/>
      <c r="E55" s="787"/>
      <c r="F55" s="787"/>
      <c r="G55" s="787"/>
      <c r="H55" s="787"/>
      <c r="I55" s="787"/>
      <c r="J55" s="788"/>
      <c r="K55" s="522" t="s">
        <v>15</v>
      </c>
      <c r="L55" s="533"/>
      <c r="M55" s="36"/>
      <c r="N55" s="36"/>
      <c r="O55" s="36"/>
      <c r="P55" s="36"/>
      <c r="Q55" s="264"/>
      <c r="R55" s="54"/>
      <c r="S55" s="36"/>
      <c r="T55" s="36"/>
      <c r="U55" s="36"/>
      <c r="V55" s="36"/>
      <c r="W55" s="36"/>
      <c r="X55" s="272"/>
    </row>
    <row r="56" spans="1:24" ht="6" customHeight="1" x14ac:dyDescent="0.2">
      <c r="A56" s="271"/>
      <c r="B56" s="36"/>
      <c r="C56" s="36"/>
      <c r="D56" s="36"/>
      <c r="E56" s="36"/>
      <c r="F56" s="36"/>
      <c r="G56" s="40"/>
      <c r="H56" s="36"/>
      <c r="I56" s="36"/>
      <c r="J56" s="40"/>
      <c r="K56" s="786" t="str">
        <f>IF(L54&lt;&gt;"","Please, proceed to the sheet MANUAL HANDLING","")</f>
        <v/>
      </c>
      <c r="L56" s="786"/>
      <c r="M56" s="786"/>
      <c r="N56" s="786"/>
      <c r="O56" s="36"/>
      <c r="P56" s="36"/>
      <c r="Q56" s="264"/>
      <c r="R56" s="54"/>
      <c r="S56" s="36"/>
      <c r="T56" s="36"/>
      <c r="U56" s="36"/>
      <c r="V56" s="36"/>
      <c r="W56" s="36"/>
      <c r="X56" s="272"/>
    </row>
    <row r="57" spans="1:24" ht="19.5" customHeight="1" x14ac:dyDescent="0.2">
      <c r="A57" s="271"/>
      <c r="B57" s="36"/>
      <c r="C57" s="36"/>
      <c r="D57" s="36"/>
      <c r="E57" s="36"/>
      <c r="F57" s="36"/>
      <c r="G57" s="36"/>
      <c r="H57" s="36"/>
      <c r="I57" s="36"/>
      <c r="J57" s="36"/>
      <c r="K57" s="786"/>
      <c r="L57" s="786"/>
      <c r="M57" s="786"/>
      <c r="N57" s="786"/>
      <c r="O57" s="36"/>
      <c r="P57" s="36"/>
      <c r="Q57" s="264"/>
      <c r="R57" s="54"/>
      <c r="S57" s="36"/>
      <c r="T57" s="36"/>
      <c r="U57" s="36"/>
      <c r="V57" s="36"/>
      <c r="W57" s="36"/>
      <c r="X57" s="272"/>
    </row>
    <row r="58" spans="1:24" ht="9.75" customHeight="1" x14ac:dyDescent="0.2">
      <c r="A58" s="271"/>
      <c r="B58" s="795" t="s">
        <v>19</v>
      </c>
      <c r="C58" s="799" t="s">
        <v>230</v>
      </c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36"/>
      <c r="P58" s="36"/>
      <c r="Q58" s="264"/>
      <c r="R58" s="54"/>
      <c r="S58" s="36"/>
      <c r="T58" s="36"/>
      <c r="U58" s="36"/>
      <c r="V58" s="36"/>
      <c r="W58" s="36"/>
      <c r="X58" s="272"/>
    </row>
    <row r="59" spans="1:24" ht="9.75" customHeight="1" x14ac:dyDescent="0.2">
      <c r="A59" s="271"/>
      <c r="B59" s="795"/>
      <c r="C59" s="799"/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36"/>
      <c r="P59" s="36"/>
      <c r="Q59" s="264"/>
      <c r="R59" s="54"/>
      <c r="S59" s="36"/>
      <c r="T59" s="36"/>
      <c r="U59" s="36"/>
      <c r="V59" s="36"/>
      <c r="W59" s="36"/>
      <c r="X59" s="272"/>
    </row>
    <row r="60" spans="1:24" ht="6.75" customHeight="1" x14ac:dyDescent="0.2">
      <c r="A60" s="271"/>
      <c r="B60" s="795"/>
      <c r="C60" s="799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36"/>
      <c r="P60" s="36"/>
      <c r="Q60" s="264"/>
      <c r="R60" s="54"/>
      <c r="S60" s="36"/>
      <c r="T60" s="36"/>
      <c r="U60" s="36"/>
      <c r="V60" s="36"/>
      <c r="W60" s="36"/>
      <c r="X60" s="272"/>
    </row>
    <row r="61" spans="1:24" ht="23.25" customHeight="1" x14ac:dyDescent="0.2">
      <c r="A61" s="27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264"/>
      <c r="R61" s="54"/>
      <c r="S61" s="36"/>
      <c r="T61" s="36"/>
      <c r="U61" s="36"/>
      <c r="V61" s="36"/>
      <c r="W61" s="36"/>
      <c r="X61" s="272"/>
    </row>
    <row r="62" spans="1:24" ht="35.1" customHeight="1" x14ac:dyDescent="0.2">
      <c r="A62" s="271"/>
      <c r="B62" s="36"/>
      <c r="C62" s="787" t="s">
        <v>514</v>
      </c>
      <c r="D62" s="787"/>
      <c r="E62" s="787"/>
      <c r="F62" s="787"/>
      <c r="G62" s="787"/>
      <c r="H62" s="787"/>
      <c r="I62" s="787"/>
      <c r="J62" s="788"/>
      <c r="K62" s="483" t="s">
        <v>60</v>
      </c>
      <c r="L62" s="28"/>
      <c r="M62" s="36"/>
      <c r="N62" s="36"/>
      <c r="O62" s="36"/>
      <c r="P62" s="36"/>
      <c r="Q62" s="264"/>
      <c r="R62" s="253">
        <f>IF(L63&lt;&gt;"",1,0)</f>
        <v>0</v>
      </c>
      <c r="S62" s="36"/>
      <c r="T62" s="36"/>
      <c r="U62" s="36"/>
      <c r="V62" s="36"/>
      <c r="W62" s="36"/>
      <c r="X62" s="272"/>
    </row>
    <row r="63" spans="1:24" ht="35.1" customHeight="1" x14ac:dyDescent="0.2">
      <c r="A63" s="271"/>
      <c r="B63" s="36"/>
      <c r="C63" s="787" t="s">
        <v>535</v>
      </c>
      <c r="D63" s="787"/>
      <c r="E63" s="787"/>
      <c r="F63" s="787"/>
      <c r="G63" s="787"/>
      <c r="H63" s="787"/>
      <c r="I63" s="787"/>
      <c r="J63" s="788"/>
      <c r="K63" s="522" t="s">
        <v>15</v>
      </c>
      <c r="L63" s="534"/>
      <c r="M63" s="36"/>
      <c r="N63" s="36"/>
      <c r="O63" s="36"/>
      <c r="P63" s="36"/>
      <c r="Q63" s="264"/>
      <c r="R63" s="54"/>
      <c r="S63" s="36"/>
      <c r="T63" s="36"/>
      <c r="U63" s="36"/>
      <c r="V63" s="36"/>
      <c r="W63" s="36"/>
      <c r="X63" s="272"/>
    </row>
    <row r="64" spans="1:24" ht="27.75" customHeight="1" x14ac:dyDescent="0.2">
      <c r="A64" s="271"/>
      <c r="B64" s="36"/>
      <c r="C64" s="789" t="s">
        <v>534</v>
      </c>
      <c r="D64" s="789"/>
      <c r="E64" s="789"/>
      <c r="F64" s="789"/>
      <c r="G64" s="789"/>
      <c r="H64" s="789"/>
      <c r="I64" s="789"/>
      <c r="J64" s="789"/>
      <c r="K64" s="36"/>
      <c r="L64" s="36"/>
      <c r="M64" s="36"/>
      <c r="N64" s="36"/>
      <c r="O64" s="36"/>
      <c r="P64" s="36"/>
      <c r="Q64" s="264"/>
      <c r="R64" s="54"/>
      <c r="S64" s="36"/>
      <c r="T64" s="36"/>
      <c r="U64" s="36"/>
      <c r="V64" s="36"/>
      <c r="W64" s="36"/>
      <c r="X64" s="272"/>
    </row>
    <row r="65" spans="1:36" ht="11.25" customHeight="1" x14ac:dyDescent="0.2">
      <c r="A65" s="271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6"/>
      <c r="M65" s="36"/>
      <c r="N65" s="36"/>
      <c r="O65" s="36"/>
      <c r="P65" s="36"/>
      <c r="Q65" s="264"/>
      <c r="R65" s="54"/>
      <c r="S65" s="36"/>
      <c r="T65" s="36"/>
      <c r="U65" s="36"/>
      <c r="V65" s="36"/>
      <c r="W65" s="36"/>
      <c r="X65" s="272"/>
    </row>
    <row r="66" spans="1:36" ht="23.25" customHeight="1" x14ac:dyDescent="0.2">
      <c r="A66" s="271"/>
      <c r="B66" s="36"/>
      <c r="C66" s="708" t="s">
        <v>511</v>
      </c>
      <c r="D66" s="689" t="str">
        <f>IF(R62=0,"If YES, please specify for which segment there are awkward postures","")</f>
        <v>If YES, please specify for which segment there are awkward postures</v>
      </c>
      <c r="E66" s="36"/>
      <c r="F66" s="36"/>
      <c r="G66" s="478"/>
      <c r="H66" s="36"/>
      <c r="I66" s="36"/>
      <c r="J66" s="36"/>
      <c r="K66" s="522" t="s">
        <v>15</v>
      </c>
      <c r="L66" s="483" t="s">
        <v>60</v>
      </c>
      <c r="M66" s="36"/>
      <c r="N66" s="36"/>
      <c r="O66" s="36"/>
      <c r="P66" s="36"/>
      <c r="Q66" s="264"/>
      <c r="R66" s="277" t="s">
        <v>401</v>
      </c>
      <c r="S66" s="36"/>
      <c r="T66" s="36"/>
      <c r="U66" s="36"/>
      <c r="V66" s="36"/>
      <c r="W66" s="36"/>
      <c r="X66" s="272"/>
    </row>
    <row r="67" spans="1:36" ht="42" customHeight="1" x14ac:dyDescent="0.2">
      <c r="A67" s="271"/>
      <c r="B67" s="36"/>
      <c r="C67" s="36"/>
      <c r="D67" s="790" t="s">
        <v>510</v>
      </c>
      <c r="E67" s="790"/>
      <c r="F67" s="790"/>
      <c r="G67" s="790"/>
      <c r="H67" s="790"/>
      <c r="I67" s="790"/>
      <c r="J67" s="791"/>
      <c r="K67" s="535"/>
      <c r="L67" s="28"/>
      <c r="M67" s="36"/>
      <c r="N67" s="36"/>
      <c r="O67" s="36"/>
      <c r="P67" s="36"/>
      <c r="Q67" s="264"/>
      <c r="R67" s="248">
        <f>IF(K67&lt;&gt;"",1,0)</f>
        <v>0</v>
      </c>
      <c r="S67" s="36"/>
      <c r="T67" s="36"/>
      <c r="U67" s="36"/>
      <c r="V67" s="36"/>
      <c r="W67" s="36"/>
      <c r="X67" s="272"/>
    </row>
    <row r="68" spans="1:36" ht="42" customHeight="1" x14ac:dyDescent="0.2">
      <c r="A68" s="271"/>
      <c r="B68" s="36"/>
      <c r="C68" s="36"/>
      <c r="D68" s="790" t="s">
        <v>492</v>
      </c>
      <c r="E68" s="790"/>
      <c r="F68" s="790"/>
      <c r="G68" s="790"/>
      <c r="H68" s="790"/>
      <c r="I68" s="790"/>
      <c r="J68" s="791"/>
      <c r="K68" s="535"/>
      <c r="L68" s="28"/>
      <c r="M68" s="36"/>
      <c r="N68" s="36"/>
      <c r="O68" s="36"/>
      <c r="P68" s="36"/>
      <c r="Q68" s="264"/>
      <c r="R68" s="248">
        <f>IF(K68&lt;&gt;"",1,0)</f>
        <v>0</v>
      </c>
      <c r="S68" s="36"/>
      <c r="T68" s="36"/>
      <c r="U68" s="36"/>
      <c r="V68" s="36"/>
      <c r="W68" s="36"/>
      <c r="X68" s="272"/>
    </row>
    <row r="69" spans="1:36" ht="48.75" customHeight="1" thickBot="1" x14ac:dyDescent="0.25">
      <c r="A69" s="271"/>
      <c r="B69" s="36"/>
      <c r="C69" s="36"/>
      <c r="D69" s="790" t="s">
        <v>493</v>
      </c>
      <c r="E69" s="790"/>
      <c r="F69" s="790"/>
      <c r="G69" s="790"/>
      <c r="H69" s="790"/>
      <c r="I69" s="790"/>
      <c r="J69" s="791"/>
      <c r="K69" s="535"/>
      <c r="L69" s="28"/>
      <c r="M69" s="793" t="str">
        <f>IF(L69&lt;&gt;"","Please, proceed to the sheet REPETITIVE MOV","")</f>
        <v/>
      </c>
      <c r="N69" s="794"/>
      <c r="O69" s="36"/>
      <c r="P69" s="557"/>
      <c r="Q69" s="264"/>
      <c r="R69" s="248">
        <f>IF(K69&lt;&gt;"",1,0)</f>
        <v>0</v>
      </c>
      <c r="S69" s="36"/>
      <c r="T69" s="36"/>
      <c r="U69" s="36"/>
      <c r="V69" s="36"/>
      <c r="W69" s="36"/>
      <c r="X69" s="272"/>
    </row>
    <row r="70" spans="1:36" ht="42" customHeight="1" thickBot="1" x14ac:dyDescent="0.25">
      <c r="A70" s="271"/>
      <c r="B70" s="36"/>
      <c r="C70" s="36"/>
      <c r="D70" s="790" t="s">
        <v>494</v>
      </c>
      <c r="E70" s="790"/>
      <c r="F70" s="790"/>
      <c r="G70" s="790"/>
      <c r="H70" s="790"/>
      <c r="I70" s="790"/>
      <c r="J70" s="791"/>
      <c r="K70" s="535"/>
      <c r="L70" s="28"/>
      <c r="M70" s="36"/>
      <c r="N70" s="36"/>
      <c r="O70" s="36"/>
      <c r="P70" s="36"/>
      <c r="Q70" s="264"/>
      <c r="R70" s="248">
        <f>IF(K70&lt;&gt;"",1,0)</f>
        <v>0</v>
      </c>
      <c r="S70" s="461">
        <f>R62+R67+R68+R70</f>
        <v>0</v>
      </c>
      <c r="T70" s="36"/>
      <c r="U70" s="36"/>
      <c r="V70" s="36"/>
      <c r="W70" s="36"/>
      <c r="X70" s="272"/>
    </row>
    <row r="71" spans="1:36" ht="39" customHeight="1" x14ac:dyDescent="0.2">
      <c r="A71" s="271"/>
      <c r="B71" s="36"/>
      <c r="C71" s="36"/>
      <c r="D71" s="36"/>
      <c r="E71" s="36"/>
      <c r="F71" s="36"/>
      <c r="G71" s="36"/>
      <c r="H71" s="36"/>
      <c r="I71" s="36"/>
      <c r="J71" s="54"/>
      <c r="K71" s="792" t="str">
        <f>IF(S70&lt;&gt;4,"Please, proceed to the sheet POSTURES for trunk and lower limbs or to  sheet REPETITIVE-MOV for upper limbs","")</f>
        <v>Please, proceed to the sheet POSTURES for trunk and lower limbs or to  sheet REPETITIVE-MOV for upper limbs</v>
      </c>
      <c r="L71" s="792"/>
      <c r="M71" s="792"/>
      <c r="N71" s="792"/>
      <c r="O71" s="36"/>
      <c r="P71" s="36"/>
      <c r="Q71" s="264"/>
      <c r="R71" s="54"/>
      <c r="S71" s="36"/>
      <c r="T71" s="36"/>
      <c r="U71" s="36"/>
      <c r="V71" s="36"/>
      <c r="W71" s="36"/>
      <c r="X71" s="272"/>
    </row>
    <row r="72" spans="1:36" ht="26.25" customHeight="1" x14ac:dyDescent="0.2">
      <c r="A72" s="271"/>
      <c r="B72" s="36"/>
      <c r="C72" s="36"/>
      <c r="D72" s="36"/>
      <c r="E72" s="36"/>
      <c r="F72" s="36"/>
      <c r="G72" s="36"/>
      <c r="H72" s="36"/>
      <c r="I72" s="13"/>
      <c r="J72" s="36"/>
      <c r="K72" s="36"/>
      <c r="L72" s="36"/>
      <c r="M72" s="36"/>
      <c r="N72" s="36"/>
      <c r="O72" s="36"/>
      <c r="P72" s="36"/>
      <c r="Q72" s="264"/>
      <c r="R72" s="54"/>
      <c r="S72" s="36"/>
      <c r="T72" s="36"/>
      <c r="U72" s="36"/>
      <c r="V72" s="36"/>
      <c r="W72" s="36"/>
      <c r="X72" s="272"/>
    </row>
    <row r="73" spans="1:36" ht="14.1" customHeight="1" x14ac:dyDescent="0.2">
      <c r="A73" s="271"/>
      <c r="B73" s="760" t="s">
        <v>20</v>
      </c>
      <c r="C73" s="770" t="s">
        <v>183</v>
      </c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2"/>
      <c r="O73" s="36"/>
      <c r="P73" s="36"/>
      <c r="Q73" s="264"/>
      <c r="R73" s="54"/>
      <c r="S73" s="36"/>
      <c r="T73" s="36"/>
      <c r="U73" s="36"/>
      <c r="V73" s="36"/>
      <c r="W73" s="36"/>
      <c r="X73" s="272"/>
    </row>
    <row r="74" spans="1:36" ht="14.1" customHeight="1" x14ac:dyDescent="0.2">
      <c r="A74" s="271"/>
      <c r="B74" s="760"/>
      <c r="C74" s="761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73"/>
      <c r="O74" s="36"/>
      <c r="P74" s="36"/>
      <c r="Q74" s="264"/>
      <c r="R74" s="54"/>
      <c r="S74" s="36"/>
      <c r="T74" s="36"/>
      <c r="U74" s="36"/>
      <c r="V74" s="36"/>
      <c r="W74" s="36"/>
      <c r="X74" s="272"/>
    </row>
    <row r="75" spans="1:36" ht="14.1" customHeight="1" x14ac:dyDescent="0.2">
      <c r="A75" s="271"/>
      <c r="B75" s="760"/>
      <c r="C75" s="774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6"/>
      <c r="O75" s="36"/>
      <c r="P75" s="36"/>
      <c r="Q75" s="264"/>
      <c r="R75" s="54"/>
      <c r="S75" s="36"/>
      <c r="T75" s="36"/>
      <c r="U75" s="36"/>
      <c r="V75" s="36"/>
      <c r="W75" s="36"/>
      <c r="X75" s="272"/>
    </row>
    <row r="76" spans="1:36" ht="14.1" customHeight="1" x14ac:dyDescent="0.2">
      <c r="A76" s="271"/>
      <c r="B76" s="318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6"/>
      <c r="P76" s="36"/>
      <c r="Q76" s="264"/>
      <c r="R76" s="54"/>
      <c r="S76" s="36"/>
      <c r="T76" s="36"/>
      <c r="U76" s="36"/>
      <c r="V76" s="36"/>
      <c r="W76" s="36"/>
      <c r="X76" s="272"/>
    </row>
    <row r="77" spans="1:36" ht="21" customHeight="1" x14ac:dyDescent="0.2">
      <c r="A77" s="271"/>
      <c r="B77" s="36"/>
      <c r="C77" s="755" t="s">
        <v>116</v>
      </c>
      <c r="D77" s="755"/>
      <c r="E77" s="755"/>
      <c r="F77" s="755"/>
      <c r="G77" s="755"/>
      <c r="H77" s="755"/>
      <c r="I77" s="755"/>
      <c r="J77" s="755"/>
      <c r="K77" s="755"/>
      <c r="L77" s="755"/>
      <c r="M77" s="36"/>
      <c r="N77" s="36"/>
      <c r="O77" s="36"/>
      <c r="P77" s="36"/>
      <c r="Q77" s="264"/>
      <c r="R77" s="54"/>
      <c r="S77" s="36"/>
      <c r="T77" s="36"/>
      <c r="U77" s="36"/>
      <c r="V77" s="36"/>
      <c r="W77" s="36"/>
      <c r="X77" s="272"/>
    </row>
    <row r="78" spans="1:36" ht="21" customHeight="1" x14ac:dyDescent="0.2">
      <c r="A78" s="271"/>
      <c r="B78" s="36"/>
      <c r="C78" s="319"/>
      <c r="D78" s="319"/>
      <c r="E78" s="319"/>
      <c r="F78" s="319"/>
      <c r="G78" s="319"/>
      <c r="H78" s="319"/>
      <c r="I78" s="319"/>
      <c r="J78" s="521" t="str">
        <f>IF(R78=0,"Please, answer the following questions","")</f>
        <v>Please, answer the following questions</v>
      </c>
      <c r="K78" s="319"/>
      <c r="L78" s="319"/>
      <c r="M78" s="36"/>
      <c r="N78" s="36"/>
      <c r="O78" s="36"/>
      <c r="P78" s="36"/>
      <c r="Q78" s="288" t="s">
        <v>304</v>
      </c>
      <c r="R78" s="54">
        <f>IF(COUNT(R79:R84)&gt;0,1,0)</f>
        <v>0</v>
      </c>
      <c r="S78" s="36"/>
      <c r="T78" s="36"/>
      <c r="U78" s="36"/>
      <c r="V78" s="36"/>
      <c r="W78" s="36"/>
      <c r="X78" s="272"/>
    </row>
    <row r="79" spans="1:36" s="317" customFormat="1" ht="21" customHeight="1" x14ac:dyDescent="0.2">
      <c r="A79" s="314"/>
      <c r="B79" s="60"/>
      <c r="C79" s="742" t="s">
        <v>117</v>
      </c>
      <c r="D79" s="743"/>
      <c r="E79" s="743"/>
      <c r="F79" s="743"/>
      <c r="G79" s="743"/>
      <c r="H79" s="744"/>
      <c r="I79" s="61"/>
      <c r="J79" s="536"/>
      <c r="K79" s="60"/>
      <c r="L79" s="60"/>
      <c r="M79" s="60"/>
      <c r="N79" s="60"/>
      <c r="O79" s="60"/>
      <c r="P79" s="60"/>
      <c r="Q79" s="264">
        <v>0</v>
      </c>
      <c r="R79" s="255" t="str">
        <f t="shared" ref="R79:R84" si="0">IF(J79="","",Q79)</f>
        <v/>
      </c>
      <c r="S79" s="60"/>
      <c r="T79" s="60"/>
      <c r="U79" s="60"/>
      <c r="V79" s="60"/>
      <c r="W79" s="60"/>
      <c r="X79" s="315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</row>
    <row r="80" spans="1:36" s="317" customFormat="1" ht="21" customHeight="1" x14ac:dyDescent="0.2">
      <c r="A80" s="314"/>
      <c r="B80" s="60"/>
      <c r="C80" s="777" t="s">
        <v>120</v>
      </c>
      <c r="D80" s="777"/>
      <c r="E80" s="777"/>
      <c r="F80" s="778" t="s">
        <v>118</v>
      </c>
      <c r="G80" s="778"/>
      <c r="H80" s="778"/>
      <c r="I80" s="61"/>
      <c r="J80" s="536"/>
      <c r="K80" s="60"/>
      <c r="L80" s="60"/>
      <c r="M80" s="60"/>
      <c r="N80" s="60"/>
      <c r="O80" s="60"/>
      <c r="P80" s="60"/>
      <c r="Q80" s="264">
        <v>1</v>
      </c>
      <c r="R80" s="255" t="str">
        <f t="shared" si="0"/>
        <v/>
      </c>
      <c r="S80" s="60"/>
      <c r="T80" s="60"/>
      <c r="U80" s="60"/>
      <c r="V80" s="60"/>
      <c r="W80" s="60"/>
      <c r="X80" s="315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</row>
    <row r="81" spans="1:36" s="317" customFormat="1" ht="21" customHeight="1" x14ac:dyDescent="0.2">
      <c r="A81" s="314"/>
      <c r="B81" s="60"/>
      <c r="C81" s="777"/>
      <c r="D81" s="777"/>
      <c r="E81" s="777"/>
      <c r="F81" s="778" t="s">
        <v>119</v>
      </c>
      <c r="G81" s="778"/>
      <c r="H81" s="778"/>
      <c r="I81" s="61"/>
      <c r="J81" s="536"/>
      <c r="K81" s="60"/>
      <c r="L81" s="60"/>
      <c r="M81" s="60"/>
      <c r="N81" s="60"/>
      <c r="O81" s="60"/>
      <c r="P81" s="60"/>
      <c r="Q81" s="264">
        <v>2</v>
      </c>
      <c r="R81" s="255" t="str">
        <f t="shared" si="0"/>
        <v/>
      </c>
      <c r="S81" s="60"/>
      <c r="T81" s="60"/>
      <c r="U81" s="60"/>
      <c r="V81" s="60"/>
      <c r="W81" s="60"/>
      <c r="X81" s="315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</row>
    <row r="82" spans="1:36" s="317" customFormat="1" ht="21" customHeight="1" x14ac:dyDescent="0.2">
      <c r="A82" s="314"/>
      <c r="B82" s="60"/>
      <c r="C82" s="777" t="s">
        <v>121</v>
      </c>
      <c r="D82" s="777"/>
      <c r="E82" s="777"/>
      <c r="F82" s="778" t="s">
        <v>118</v>
      </c>
      <c r="G82" s="778"/>
      <c r="H82" s="778"/>
      <c r="I82" s="61"/>
      <c r="J82" s="536"/>
      <c r="K82" s="60"/>
      <c r="L82" s="60"/>
      <c r="M82" s="60"/>
      <c r="N82" s="60"/>
      <c r="O82" s="60"/>
      <c r="P82" s="60"/>
      <c r="Q82" s="264">
        <v>1</v>
      </c>
      <c r="R82" s="255" t="str">
        <f t="shared" si="0"/>
        <v/>
      </c>
      <c r="S82" s="60"/>
      <c r="T82" s="60"/>
      <c r="U82" s="60"/>
      <c r="V82" s="60"/>
      <c r="W82" s="60"/>
      <c r="X82" s="315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</row>
    <row r="83" spans="1:36" s="317" customFormat="1" ht="21" customHeight="1" x14ac:dyDescent="0.2">
      <c r="A83" s="314"/>
      <c r="B83" s="60"/>
      <c r="C83" s="777"/>
      <c r="D83" s="777"/>
      <c r="E83" s="777"/>
      <c r="F83" s="778" t="s">
        <v>119</v>
      </c>
      <c r="G83" s="778"/>
      <c r="H83" s="778"/>
      <c r="I83" s="61"/>
      <c r="J83" s="536"/>
      <c r="K83" s="60"/>
      <c r="L83" s="60"/>
      <c r="M83" s="60"/>
      <c r="N83" s="60"/>
      <c r="O83" s="60"/>
      <c r="P83" s="60"/>
      <c r="Q83" s="264">
        <v>2</v>
      </c>
      <c r="R83" s="255" t="str">
        <f t="shared" si="0"/>
        <v/>
      </c>
      <c r="S83" s="60"/>
      <c r="T83" s="60"/>
      <c r="U83" s="60"/>
      <c r="V83" s="60"/>
      <c r="W83" s="60"/>
      <c r="X83" s="315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</row>
    <row r="84" spans="1:36" s="317" customFormat="1" ht="21" customHeight="1" x14ac:dyDescent="0.2">
      <c r="A84" s="314"/>
      <c r="B84" s="60"/>
      <c r="C84" s="777" t="s">
        <v>122</v>
      </c>
      <c r="D84" s="777"/>
      <c r="E84" s="777"/>
      <c r="F84" s="777"/>
      <c r="G84" s="777"/>
      <c r="H84" s="777"/>
      <c r="I84" s="61"/>
      <c r="J84" s="536"/>
      <c r="K84" s="60"/>
      <c r="L84" s="60"/>
      <c r="M84" s="60"/>
      <c r="N84" s="60"/>
      <c r="O84" s="60"/>
      <c r="P84" s="60"/>
      <c r="Q84" s="264">
        <v>4</v>
      </c>
      <c r="R84" s="255" t="str">
        <f t="shared" si="0"/>
        <v/>
      </c>
      <c r="S84" s="60"/>
      <c r="T84" s="255">
        <f>SUM(R79:R84)</f>
        <v>0</v>
      </c>
      <c r="U84" s="60"/>
      <c r="V84" s="60"/>
      <c r="W84" s="60"/>
      <c r="X84" s="315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</row>
    <row r="85" spans="1:36" ht="26.25" customHeight="1" x14ac:dyDescent="0.3">
      <c r="A85" s="271"/>
      <c r="B85" s="36"/>
      <c r="C85" s="37"/>
      <c r="D85" s="320"/>
      <c r="E85" s="320"/>
      <c r="F85" s="320"/>
      <c r="G85" s="320"/>
      <c r="H85" s="320"/>
      <c r="I85" s="320"/>
      <c r="J85" s="76"/>
      <c r="K85" s="36"/>
      <c r="L85" s="36"/>
      <c r="M85" s="36"/>
      <c r="N85" s="36"/>
      <c r="O85" s="36"/>
      <c r="P85" s="289"/>
      <c r="Q85" s="37"/>
      <c r="S85" s="36"/>
      <c r="T85" s="36"/>
      <c r="U85" s="36"/>
      <c r="V85" s="36"/>
      <c r="W85" s="36"/>
      <c r="X85" s="272"/>
    </row>
    <row r="86" spans="1:36" ht="21" customHeight="1" x14ac:dyDescent="0.2">
      <c r="A86" s="271"/>
      <c r="B86" s="36"/>
      <c r="C86" s="755" t="s">
        <v>182</v>
      </c>
      <c r="D86" s="755"/>
      <c r="E86" s="755"/>
      <c r="F86" s="755"/>
      <c r="G86" s="755"/>
      <c r="H86" s="755"/>
      <c r="I86" s="755"/>
      <c r="J86" s="755"/>
      <c r="K86" s="755"/>
      <c r="L86" s="755"/>
      <c r="M86" s="36"/>
      <c r="N86" s="36"/>
      <c r="O86" s="36"/>
      <c r="P86" s="289"/>
      <c r="Q86" s="37"/>
      <c r="S86" s="36"/>
      <c r="T86" s="36"/>
      <c r="U86" s="36"/>
      <c r="V86" s="36"/>
      <c r="W86" s="36"/>
      <c r="X86" s="272"/>
    </row>
    <row r="87" spans="1:36" ht="21" customHeight="1" x14ac:dyDescent="0.2">
      <c r="A87" s="271"/>
      <c r="B87" s="36"/>
      <c r="C87" s="319"/>
      <c r="D87" s="319"/>
      <c r="E87" s="319"/>
      <c r="F87" s="319"/>
      <c r="G87" s="319"/>
      <c r="H87" s="319"/>
      <c r="I87" s="319"/>
      <c r="J87" s="521" t="str">
        <f>IF(R87=0,"Please, answer the following questions","")</f>
        <v>Please, answer the following questions</v>
      </c>
      <c r="K87" s="319"/>
      <c r="L87" s="319"/>
      <c r="M87" s="36"/>
      <c r="N87" s="36"/>
      <c r="O87" s="36"/>
      <c r="P87" s="289"/>
      <c r="Q87" s="288" t="s">
        <v>304</v>
      </c>
      <c r="R87" s="54">
        <f>IF(COUNT(R88:R93)&gt;0,1,0)</f>
        <v>0</v>
      </c>
      <c r="S87" s="36"/>
      <c r="T87" s="36"/>
      <c r="U87" s="36"/>
      <c r="V87" s="36"/>
      <c r="W87" s="36"/>
      <c r="X87" s="272"/>
    </row>
    <row r="88" spans="1:36" ht="21" customHeight="1" x14ac:dyDescent="0.2">
      <c r="A88" s="271"/>
      <c r="B88" s="36"/>
      <c r="C88" s="801" t="s">
        <v>117</v>
      </c>
      <c r="D88" s="743"/>
      <c r="E88" s="743"/>
      <c r="F88" s="743"/>
      <c r="G88" s="743"/>
      <c r="H88" s="744"/>
      <c r="I88" s="321"/>
      <c r="J88" s="536"/>
      <c r="K88" s="36"/>
      <c r="L88" s="36"/>
      <c r="M88" s="36"/>
      <c r="N88" s="36"/>
      <c r="O88" s="36"/>
      <c r="P88" s="36"/>
      <c r="Q88" s="264">
        <v>0</v>
      </c>
      <c r="R88" s="89" t="str">
        <f t="shared" ref="R88:R93" si="1">IF(J88="","",Q88)</f>
        <v/>
      </c>
      <c r="S88" s="36"/>
      <c r="T88" s="36"/>
      <c r="U88" s="36"/>
      <c r="V88" s="36"/>
      <c r="W88" s="36"/>
      <c r="X88" s="272"/>
    </row>
    <row r="89" spans="1:36" ht="21" customHeight="1" x14ac:dyDescent="0.2">
      <c r="A89" s="271"/>
      <c r="B89" s="36"/>
      <c r="C89" s="780" t="s">
        <v>120</v>
      </c>
      <c r="D89" s="781"/>
      <c r="E89" s="782"/>
      <c r="F89" s="769" t="s">
        <v>118</v>
      </c>
      <c r="G89" s="769"/>
      <c r="H89" s="769"/>
      <c r="I89" s="61"/>
      <c r="J89" s="536"/>
      <c r="K89" s="36"/>
      <c r="L89" s="36"/>
      <c r="M89" s="36"/>
      <c r="N89" s="36"/>
      <c r="O89" s="36"/>
      <c r="P89" s="36"/>
      <c r="Q89" s="264">
        <v>1</v>
      </c>
      <c r="R89" s="89" t="str">
        <f t="shared" si="1"/>
        <v/>
      </c>
      <c r="S89" s="36"/>
      <c r="T89" s="36"/>
      <c r="U89" s="36"/>
      <c r="V89" s="36"/>
      <c r="W89" s="36"/>
      <c r="X89" s="272"/>
    </row>
    <row r="90" spans="1:36" ht="21" customHeight="1" x14ac:dyDescent="0.2">
      <c r="A90" s="271"/>
      <c r="B90" s="36"/>
      <c r="C90" s="783"/>
      <c r="D90" s="784"/>
      <c r="E90" s="785"/>
      <c r="F90" s="769" t="s">
        <v>119</v>
      </c>
      <c r="G90" s="769"/>
      <c r="H90" s="769"/>
      <c r="I90" s="61"/>
      <c r="J90" s="536"/>
      <c r="K90" s="36"/>
      <c r="L90" s="36"/>
      <c r="M90" s="36"/>
      <c r="N90" s="36"/>
      <c r="O90" s="36"/>
      <c r="P90" s="36"/>
      <c r="Q90" s="264">
        <v>2</v>
      </c>
      <c r="R90" s="89" t="str">
        <f t="shared" si="1"/>
        <v/>
      </c>
      <c r="S90" s="36"/>
      <c r="T90" s="36"/>
      <c r="U90" s="36"/>
      <c r="V90" s="36"/>
      <c r="W90" s="36"/>
      <c r="X90" s="272"/>
    </row>
    <row r="91" spans="1:36" ht="21" customHeight="1" x14ac:dyDescent="0.2">
      <c r="A91" s="271"/>
      <c r="B91" s="36"/>
      <c r="C91" s="780" t="s">
        <v>121</v>
      </c>
      <c r="D91" s="781"/>
      <c r="E91" s="782"/>
      <c r="F91" s="769" t="s">
        <v>118</v>
      </c>
      <c r="G91" s="769"/>
      <c r="H91" s="769"/>
      <c r="I91" s="61"/>
      <c r="J91" s="536"/>
      <c r="K91" s="36"/>
      <c r="L91" s="36"/>
      <c r="M91" s="36"/>
      <c r="N91" s="36"/>
      <c r="O91" s="36"/>
      <c r="P91" s="36"/>
      <c r="Q91" s="264">
        <v>1</v>
      </c>
      <c r="R91" s="89" t="str">
        <f t="shared" si="1"/>
        <v/>
      </c>
      <c r="S91" s="36"/>
      <c r="T91" s="36"/>
      <c r="U91" s="36"/>
      <c r="V91" s="36"/>
      <c r="W91" s="36"/>
      <c r="X91" s="272"/>
    </row>
    <row r="92" spans="1:36" ht="21" customHeight="1" x14ac:dyDescent="0.2">
      <c r="A92" s="271"/>
      <c r="B92" s="36"/>
      <c r="C92" s="783"/>
      <c r="D92" s="784"/>
      <c r="E92" s="785"/>
      <c r="F92" s="769" t="s">
        <v>119</v>
      </c>
      <c r="G92" s="769"/>
      <c r="H92" s="769"/>
      <c r="I92" s="61"/>
      <c r="J92" s="536"/>
      <c r="K92" s="36"/>
      <c r="L92" s="36"/>
      <c r="M92" s="36"/>
      <c r="N92" s="36"/>
      <c r="O92" s="36"/>
      <c r="P92" s="36"/>
      <c r="Q92" s="264">
        <v>2</v>
      </c>
      <c r="R92" s="89" t="str">
        <f t="shared" si="1"/>
        <v/>
      </c>
      <c r="S92" s="36"/>
      <c r="T92" s="36"/>
      <c r="U92" s="36"/>
      <c r="V92" s="36"/>
      <c r="W92" s="36"/>
      <c r="X92" s="272"/>
    </row>
    <row r="93" spans="1:36" ht="21" customHeight="1" x14ac:dyDescent="0.2">
      <c r="A93" s="271"/>
      <c r="B93" s="36"/>
      <c r="C93" s="797" t="s">
        <v>123</v>
      </c>
      <c r="D93" s="797"/>
      <c r="E93" s="797"/>
      <c r="F93" s="797"/>
      <c r="G93" s="797"/>
      <c r="H93" s="797"/>
      <c r="I93" s="61"/>
      <c r="J93" s="536"/>
      <c r="K93" s="36"/>
      <c r="L93" s="36"/>
      <c r="M93" s="36"/>
      <c r="N93" s="36"/>
      <c r="O93" s="36"/>
      <c r="P93" s="36"/>
      <c r="Q93" s="264">
        <v>4</v>
      </c>
      <c r="R93" s="89" t="str">
        <f t="shared" si="1"/>
        <v/>
      </c>
      <c r="S93" s="36"/>
      <c r="T93" s="255">
        <f>SUM(R88:R93)</f>
        <v>0</v>
      </c>
      <c r="U93" s="36"/>
      <c r="V93" s="36"/>
      <c r="W93" s="36"/>
      <c r="X93" s="272"/>
    </row>
    <row r="94" spans="1:36" ht="15" customHeight="1" x14ac:dyDescent="0.2">
      <c r="A94" s="271"/>
      <c r="B94" s="36"/>
      <c r="C94" s="322"/>
      <c r="D94" s="36"/>
      <c r="E94" s="36"/>
      <c r="F94" s="36"/>
      <c r="G94" s="323"/>
      <c r="H94" s="324"/>
      <c r="I94" s="36"/>
      <c r="J94" s="325"/>
      <c r="K94" s="36"/>
      <c r="L94" s="36"/>
      <c r="M94" s="36"/>
      <c r="N94" s="36"/>
      <c r="O94" s="36"/>
      <c r="P94" s="36"/>
      <c r="Q94" s="264"/>
      <c r="R94" s="54"/>
      <c r="S94" s="36"/>
      <c r="T94" s="36"/>
      <c r="U94" s="36"/>
      <c r="V94" s="36"/>
      <c r="W94" s="36"/>
      <c r="X94" s="272"/>
    </row>
    <row r="95" spans="1:36" ht="21" customHeight="1" x14ac:dyDescent="0.2">
      <c r="A95" s="271"/>
      <c r="B95" s="36"/>
      <c r="C95" s="755" t="s">
        <v>451</v>
      </c>
      <c r="D95" s="755"/>
      <c r="E95" s="755"/>
      <c r="F95" s="755"/>
      <c r="G95" s="755"/>
      <c r="H95" s="755"/>
      <c r="I95" s="755"/>
      <c r="J95" s="755"/>
      <c r="K95" s="755"/>
      <c r="L95" s="755"/>
      <c r="M95" s="36"/>
      <c r="N95" s="36"/>
      <c r="O95" s="36"/>
      <c r="P95" s="36"/>
      <c r="Q95" s="264"/>
      <c r="R95" s="54"/>
      <c r="S95" s="36"/>
      <c r="T95" s="36"/>
      <c r="U95" s="36"/>
      <c r="V95" s="36"/>
      <c r="W95" s="36"/>
      <c r="X95" s="272"/>
    </row>
    <row r="96" spans="1:36" ht="21" customHeight="1" x14ac:dyDescent="0.2">
      <c r="A96" s="271"/>
      <c r="B96" s="36"/>
      <c r="C96" s="319"/>
      <c r="D96" s="319"/>
      <c r="E96" s="319"/>
      <c r="F96" s="319"/>
      <c r="G96" s="319"/>
      <c r="H96" s="319"/>
      <c r="I96" s="319"/>
      <c r="J96" s="521" t="str">
        <f>IF(R96=0,"Please, answer the following questions","")</f>
        <v>Please, answer the following questions</v>
      </c>
      <c r="K96" s="319"/>
      <c r="L96" s="319"/>
      <c r="M96" s="36"/>
      <c r="N96" s="36"/>
      <c r="O96" s="36"/>
      <c r="P96" s="36"/>
      <c r="Q96" s="288" t="s">
        <v>304</v>
      </c>
      <c r="R96" s="54">
        <f>IF(COUNT(R97:R100)&gt;0,1,0)</f>
        <v>0</v>
      </c>
      <c r="S96" s="36"/>
      <c r="T96" s="36"/>
      <c r="U96" s="36"/>
      <c r="V96" s="36"/>
      <c r="W96" s="36"/>
      <c r="X96" s="272"/>
    </row>
    <row r="97" spans="1:24" ht="21" customHeight="1" x14ac:dyDescent="0.2">
      <c r="A97" s="271"/>
      <c r="B97" s="36"/>
      <c r="C97" s="780" t="s">
        <v>127</v>
      </c>
      <c r="D97" s="781"/>
      <c r="E97" s="782"/>
      <c r="F97" s="798" t="s">
        <v>126</v>
      </c>
      <c r="G97" s="798"/>
      <c r="H97" s="798"/>
      <c r="I97" s="61"/>
      <c r="J97" s="536"/>
      <c r="K97" s="36"/>
      <c r="L97" s="36"/>
      <c r="M97" s="36"/>
      <c r="N97" s="36"/>
      <c r="O97" s="36"/>
      <c r="P97" s="36"/>
      <c r="Q97" s="264">
        <v>0</v>
      </c>
      <c r="R97" s="89" t="str">
        <f>IF(J97="","",Q97)</f>
        <v/>
      </c>
      <c r="S97" s="36"/>
      <c r="T97" s="36"/>
      <c r="U97" s="36"/>
      <c r="V97" s="36"/>
      <c r="W97" s="36"/>
      <c r="X97" s="272"/>
    </row>
    <row r="98" spans="1:24" ht="21" customHeight="1" x14ac:dyDescent="0.2">
      <c r="A98" s="271"/>
      <c r="B98" s="36"/>
      <c r="C98" s="783"/>
      <c r="D98" s="784"/>
      <c r="E98" s="785"/>
      <c r="F98" s="798" t="s">
        <v>125</v>
      </c>
      <c r="G98" s="798"/>
      <c r="H98" s="798"/>
      <c r="I98" s="61"/>
      <c r="J98" s="536"/>
      <c r="K98" s="36"/>
      <c r="L98" s="36"/>
      <c r="M98" s="36"/>
      <c r="N98" s="36"/>
      <c r="O98" s="36"/>
      <c r="P98" s="36"/>
      <c r="Q98" s="264">
        <v>1</v>
      </c>
      <c r="R98" s="89" t="str">
        <f>IF(J98="","",Q98)</f>
        <v/>
      </c>
      <c r="S98" s="36"/>
      <c r="T98" s="36"/>
      <c r="U98" s="36"/>
      <c r="V98" s="36"/>
      <c r="W98" s="36"/>
      <c r="X98" s="272"/>
    </row>
    <row r="99" spans="1:24" ht="21" customHeight="1" x14ac:dyDescent="0.2">
      <c r="A99" s="271"/>
      <c r="B99" s="36"/>
      <c r="C99" s="796" t="s">
        <v>124</v>
      </c>
      <c r="D99" s="781"/>
      <c r="E99" s="782"/>
      <c r="F99" s="798" t="s">
        <v>126</v>
      </c>
      <c r="G99" s="798"/>
      <c r="H99" s="798"/>
      <c r="I99" s="61"/>
      <c r="J99" s="536"/>
      <c r="K99" s="36"/>
      <c r="L99" s="36"/>
      <c r="M99" s="36"/>
      <c r="N99" s="36"/>
      <c r="O99" s="36"/>
      <c r="P99" s="36"/>
      <c r="Q99" s="264">
        <v>0</v>
      </c>
      <c r="R99" s="89" t="str">
        <f>IF(J99="","",Q99)</f>
        <v/>
      </c>
      <c r="S99" s="36"/>
      <c r="V99" s="36"/>
      <c r="W99" s="36"/>
      <c r="X99" s="272"/>
    </row>
    <row r="100" spans="1:24" ht="21" customHeight="1" thickBot="1" x14ac:dyDescent="0.25">
      <c r="A100" s="271"/>
      <c r="B100" s="36"/>
      <c r="C100" s="783"/>
      <c r="D100" s="784"/>
      <c r="E100" s="785"/>
      <c r="F100" s="798" t="s">
        <v>125</v>
      </c>
      <c r="G100" s="798"/>
      <c r="H100" s="798"/>
      <c r="I100" s="61"/>
      <c r="J100" s="536"/>
      <c r="K100" s="36"/>
      <c r="L100" s="36"/>
      <c r="M100" s="36"/>
      <c r="N100" s="36"/>
      <c r="O100" s="36"/>
      <c r="P100" s="36"/>
      <c r="Q100" s="264">
        <v>4</v>
      </c>
      <c r="R100" s="89" t="str">
        <f>IF(J100="","",Q100)</f>
        <v/>
      </c>
      <c r="S100" s="36"/>
      <c r="T100" s="89">
        <f>SUM(R97:R100)</f>
        <v>0</v>
      </c>
      <c r="U100" s="36" t="s">
        <v>28</v>
      </c>
      <c r="V100" s="36"/>
      <c r="W100" s="36"/>
      <c r="X100" s="272"/>
    </row>
    <row r="101" spans="1:24" ht="24.95" customHeight="1" thickBot="1" x14ac:dyDescent="0.25">
      <c r="A101" s="271"/>
      <c r="B101" s="36"/>
      <c r="C101" s="244"/>
      <c r="D101" s="244"/>
      <c r="E101" s="244"/>
      <c r="F101" s="244"/>
      <c r="G101" s="244"/>
      <c r="H101" s="244"/>
      <c r="I101" s="244"/>
      <c r="J101" s="244"/>
      <c r="K101" s="67"/>
      <c r="L101" s="67"/>
      <c r="M101" s="60"/>
      <c r="N101" s="163"/>
      <c r="O101" s="36"/>
      <c r="P101" s="256"/>
      <c r="Q101" s="264"/>
      <c r="R101" s="54"/>
      <c r="S101" s="36"/>
      <c r="T101" s="286">
        <f>T84+T93+T100</f>
        <v>0</v>
      </c>
      <c r="U101" s="263" t="str">
        <f>IF(R78=1,IF(T101/8&gt;100%,100%,T101/8),"")</f>
        <v/>
      </c>
      <c r="V101" s="260"/>
      <c r="W101" s="36"/>
      <c r="X101" s="272"/>
    </row>
    <row r="102" spans="1:24" x14ac:dyDescent="0.2">
      <c r="A102" s="271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264"/>
      <c r="R102" s="54"/>
      <c r="S102" s="36"/>
      <c r="T102" s="36"/>
      <c r="U102" s="36"/>
      <c r="V102" s="36"/>
      <c r="W102" s="36"/>
      <c r="X102" s="272"/>
    </row>
    <row r="103" spans="1:24" ht="14.1" customHeight="1" x14ac:dyDescent="0.2">
      <c r="A103" s="271"/>
      <c r="B103" s="760" t="s">
        <v>21</v>
      </c>
      <c r="C103" s="770" t="s">
        <v>184</v>
      </c>
      <c r="D103" s="771"/>
      <c r="E103" s="771"/>
      <c r="F103" s="771"/>
      <c r="G103" s="771"/>
      <c r="H103" s="771"/>
      <c r="I103" s="771"/>
      <c r="J103" s="771"/>
      <c r="K103" s="771"/>
      <c r="L103" s="771"/>
      <c r="M103" s="771"/>
      <c r="N103" s="772"/>
      <c r="O103" s="36"/>
      <c r="P103" s="36"/>
      <c r="Q103" s="264"/>
      <c r="R103" s="54"/>
      <c r="S103" s="36"/>
      <c r="T103" s="36"/>
      <c r="U103" s="36"/>
      <c r="V103" s="36"/>
      <c r="W103" s="36"/>
      <c r="X103" s="272"/>
    </row>
    <row r="104" spans="1:24" ht="14.1" customHeight="1" x14ac:dyDescent="0.2">
      <c r="A104" s="271"/>
      <c r="B104" s="760"/>
      <c r="C104" s="761"/>
      <c r="D104" s="762"/>
      <c r="E104" s="762"/>
      <c r="F104" s="762"/>
      <c r="G104" s="762"/>
      <c r="H104" s="762"/>
      <c r="I104" s="762"/>
      <c r="J104" s="762"/>
      <c r="K104" s="762"/>
      <c r="L104" s="762"/>
      <c r="M104" s="762"/>
      <c r="N104" s="773"/>
      <c r="O104" s="36"/>
      <c r="P104" s="36"/>
      <c r="Q104" s="264"/>
      <c r="R104" s="54"/>
      <c r="S104" s="36"/>
      <c r="T104" s="36"/>
      <c r="U104" s="36"/>
      <c r="V104" s="36"/>
      <c r="W104" s="36"/>
      <c r="X104" s="272"/>
    </row>
    <row r="105" spans="1:24" ht="14.1" customHeight="1" x14ac:dyDescent="0.2">
      <c r="A105" s="271"/>
      <c r="B105" s="760"/>
      <c r="C105" s="774"/>
      <c r="D105" s="775"/>
      <c r="E105" s="775"/>
      <c r="F105" s="775"/>
      <c r="G105" s="775"/>
      <c r="H105" s="775"/>
      <c r="I105" s="775"/>
      <c r="J105" s="775"/>
      <c r="K105" s="775"/>
      <c r="L105" s="775"/>
      <c r="M105" s="775"/>
      <c r="N105" s="776"/>
      <c r="O105" s="36"/>
      <c r="P105" s="36"/>
      <c r="Q105" s="264"/>
      <c r="R105" s="54"/>
      <c r="S105" s="36"/>
      <c r="T105" s="36"/>
      <c r="U105" s="36"/>
      <c r="V105" s="36"/>
      <c r="W105" s="36"/>
      <c r="X105" s="272"/>
    </row>
    <row r="106" spans="1:24" ht="14.1" customHeight="1" x14ac:dyDescent="0.2">
      <c r="A106" s="271"/>
      <c r="B106" s="318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6"/>
      <c r="P106" s="36"/>
      <c r="Q106" s="264"/>
      <c r="R106" s="54"/>
      <c r="S106" s="36"/>
      <c r="T106" s="36"/>
      <c r="U106" s="36"/>
      <c r="V106" s="36"/>
      <c r="W106" s="36"/>
      <c r="X106" s="272"/>
    </row>
    <row r="107" spans="1:24" ht="21" customHeight="1" x14ac:dyDescent="0.2">
      <c r="A107" s="271"/>
      <c r="B107" s="36"/>
      <c r="C107" s="755" t="s">
        <v>452</v>
      </c>
      <c r="D107" s="755"/>
      <c r="E107" s="755"/>
      <c r="F107" s="755"/>
      <c r="G107" s="755"/>
      <c r="H107" s="755"/>
      <c r="I107" s="755"/>
      <c r="J107" s="755"/>
      <c r="K107" s="755"/>
      <c r="L107" s="755"/>
      <c r="M107" s="36"/>
      <c r="N107" s="36"/>
      <c r="O107" s="36"/>
      <c r="P107" s="36"/>
      <c r="Q107" s="264"/>
      <c r="R107" s="54"/>
      <c r="S107" s="36"/>
      <c r="T107" s="36"/>
      <c r="U107" s="36"/>
      <c r="V107" s="36"/>
      <c r="W107" s="36"/>
      <c r="X107" s="272"/>
    </row>
    <row r="108" spans="1:24" ht="21" customHeight="1" x14ac:dyDescent="0.2">
      <c r="A108" s="271"/>
      <c r="B108" s="36"/>
      <c r="C108" s="319"/>
      <c r="D108" s="319"/>
      <c r="E108" s="319"/>
      <c r="F108" s="319"/>
      <c r="G108" s="319"/>
      <c r="H108" s="319"/>
      <c r="I108" s="319"/>
      <c r="J108" s="521" t="str">
        <f>IF(R108=0,"Please, answer the following questions","")</f>
        <v>Please, answer the following questions</v>
      </c>
      <c r="K108" s="319"/>
      <c r="L108" s="319"/>
      <c r="M108" s="36"/>
      <c r="N108" s="36"/>
      <c r="O108" s="36"/>
      <c r="P108" s="36"/>
      <c r="Q108" s="288" t="s">
        <v>304</v>
      </c>
      <c r="R108" s="54">
        <f>IF(COUNT(R109:R113)&gt;0,1,0)</f>
        <v>0</v>
      </c>
      <c r="S108" s="36"/>
      <c r="T108" s="36"/>
      <c r="U108" s="36"/>
      <c r="V108" s="36"/>
      <c r="W108" s="36"/>
      <c r="X108" s="272"/>
    </row>
    <row r="109" spans="1:24" ht="21" customHeight="1" x14ac:dyDescent="0.2">
      <c r="A109" s="271"/>
      <c r="B109" s="36"/>
      <c r="C109" s="753" t="s">
        <v>450</v>
      </c>
      <c r="D109" s="754"/>
      <c r="E109" s="754"/>
      <c r="F109" s="754"/>
      <c r="G109" s="754"/>
      <c r="H109" s="754"/>
      <c r="I109" s="61"/>
      <c r="J109" s="536"/>
      <c r="K109" s="36"/>
      <c r="L109" s="36"/>
      <c r="M109" s="36"/>
      <c r="N109" s="36"/>
      <c r="O109" s="36"/>
      <c r="P109" s="36"/>
      <c r="Q109" s="264">
        <v>0</v>
      </c>
      <c r="R109" s="89" t="str">
        <f>IF(J109="","",Q109)</f>
        <v/>
      </c>
      <c r="S109" s="36"/>
      <c r="T109" s="36"/>
      <c r="U109" s="36"/>
      <c r="V109" s="36"/>
      <c r="W109" s="36"/>
      <c r="X109" s="272"/>
    </row>
    <row r="110" spans="1:24" ht="21" customHeight="1" x14ac:dyDescent="0.2">
      <c r="A110" s="271"/>
      <c r="B110" s="36"/>
      <c r="C110" s="754" t="s">
        <v>128</v>
      </c>
      <c r="D110" s="754"/>
      <c r="E110" s="754"/>
      <c r="F110" s="754"/>
      <c r="G110" s="754"/>
      <c r="H110" s="754"/>
      <c r="I110" s="61"/>
      <c r="J110" s="536"/>
      <c r="K110" s="36"/>
      <c r="L110" s="36"/>
      <c r="M110" s="36"/>
      <c r="N110" s="36"/>
      <c r="O110" s="36"/>
      <c r="P110" s="36"/>
      <c r="Q110" s="264">
        <v>0</v>
      </c>
      <c r="R110" s="89" t="str">
        <f>IF(J110="","",Q110)</f>
        <v/>
      </c>
      <c r="S110" s="36"/>
      <c r="T110" s="36"/>
      <c r="U110" s="36"/>
      <c r="V110" s="36"/>
      <c r="W110" s="36"/>
      <c r="X110" s="272"/>
    </row>
    <row r="111" spans="1:24" ht="24.75" x14ac:dyDescent="0.2">
      <c r="A111" s="271"/>
      <c r="B111" s="36"/>
      <c r="C111" s="754" t="s">
        <v>129</v>
      </c>
      <c r="D111" s="754"/>
      <c r="E111" s="754"/>
      <c r="F111" s="754"/>
      <c r="G111" s="754"/>
      <c r="H111" s="754"/>
      <c r="I111" s="61"/>
      <c r="J111" s="536"/>
      <c r="K111" s="60"/>
      <c r="L111" s="60"/>
      <c r="M111" s="60"/>
      <c r="N111" s="69"/>
      <c r="O111" s="36"/>
      <c r="P111" s="36"/>
      <c r="Q111" s="264">
        <v>1</v>
      </c>
      <c r="R111" s="89" t="str">
        <f>IF(J111="","",Q111)</f>
        <v/>
      </c>
      <c r="S111" s="36"/>
      <c r="T111" s="36"/>
      <c r="U111" s="36"/>
      <c r="V111" s="36"/>
      <c r="W111" s="36"/>
      <c r="X111" s="272"/>
    </row>
    <row r="112" spans="1:24" ht="24.75" x14ac:dyDescent="0.2">
      <c r="A112" s="271"/>
      <c r="B112" s="36"/>
      <c r="C112" s="754" t="s">
        <v>130</v>
      </c>
      <c r="D112" s="754"/>
      <c r="E112" s="754"/>
      <c r="F112" s="754"/>
      <c r="G112" s="754"/>
      <c r="H112" s="754"/>
      <c r="I112" s="61"/>
      <c r="J112" s="536"/>
      <c r="K112" s="60"/>
      <c r="L112" s="60"/>
      <c r="M112" s="60"/>
      <c r="N112" s="69"/>
      <c r="O112" s="36"/>
      <c r="P112" s="36"/>
      <c r="Q112" s="264">
        <v>2</v>
      </c>
      <c r="R112" s="89" t="str">
        <f>IF(J112="","",Q112)</f>
        <v/>
      </c>
      <c r="S112" s="36"/>
      <c r="V112" s="36"/>
      <c r="W112" s="36"/>
      <c r="X112" s="272"/>
    </row>
    <row r="113" spans="1:24" ht="25.5" thickBot="1" x14ac:dyDescent="0.25">
      <c r="A113" s="271"/>
      <c r="B113" s="36"/>
      <c r="C113" s="754" t="s">
        <v>131</v>
      </c>
      <c r="D113" s="754"/>
      <c r="E113" s="754"/>
      <c r="F113" s="754"/>
      <c r="G113" s="754"/>
      <c r="H113" s="754"/>
      <c r="I113" s="61"/>
      <c r="J113" s="536"/>
      <c r="K113" s="60"/>
      <c r="L113" s="60"/>
      <c r="M113" s="60"/>
      <c r="N113" s="69"/>
      <c r="O113" s="36"/>
      <c r="P113" s="36"/>
      <c r="Q113" s="264">
        <v>4</v>
      </c>
      <c r="R113" s="89" t="str">
        <f>IF(J113="","",Q113)</f>
        <v/>
      </c>
      <c r="S113" s="36"/>
      <c r="T113" s="36"/>
      <c r="U113" s="36" t="s">
        <v>27</v>
      </c>
      <c r="V113" s="36"/>
      <c r="W113" s="36"/>
      <c r="X113" s="272"/>
    </row>
    <row r="114" spans="1:24" ht="24.95" customHeight="1" thickBot="1" x14ac:dyDescent="0.25">
      <c r="A114" s="271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163"/>
      <c r="O114" s="36"/>
      <c r="P114" s="36"/>
      <c r="Q114" s="264"/>
      <c r="R114" s="54"/>
      <c r="S114" s="36"/>
      <c r="T114" s="262">
        <f>SUM(R109:R113)</f>
        <v>0</v>
      </c>
      <c r="U114" s="263" t="str">
        <f>IF(R108=1,IF(T114/4&gt;100%,100%,T114/4),"")</f>
        <v/>
      </c>
      <c r="V114" s="36"/>
      <c r="W114" s="36"/>
      <c r="X114" s="272"/>
    </row>
    <row r="115" spans="1:24" x14ac:dyDescent="0.2">
      <c r="A115" s="271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264"/>
      <c r="R115" s="54"/>
      <c r="S115" s="36"/>
      <c r="T115" s="36"/>
      <c r="U115" s="36"/>
      <c r="V115" s="36"/>
      <c r="W115" s="36"/>
      <c r="X115" s="272"/>
    </row>
    <row r="116" spans="1:24" ht="14.1" customHeight="1" x14ac:dyDescent="0.2">
      <c r="A116" s="271"/>
      <c r="B116" s="760" t="s">
        <v>22</v>
      </c>
      <c r="C116" s="770" t="s">
        <v>525</v>
      </c>
      <c r="D116" s="771"/>
      <c r="E116" s="771"/>
      <c r="F116" s="771"/>
      <c r="G116" s="771"/>
      <c r="H116" s="771"/>
      <c r="I116" s="771"/>
      <c r="J116" s="771"/>
      <c r="K116" s="771"/>
      <c r="L116" s="771"/>
      <c r="M116" s="771"/>
      <c r="N116" s="772"/>
      <c r="O116" s="36"/>
      <c r="P116" s="36"/>
      <c r="Q116" s="264"/>
      <c r="R116" s="54"/>
      <c r="S116" s="36"/>
      <c r="T116" s="36"/>
      <c r="U116" s="36"/>
      <c r="V116" s="36"/>
      <c r="W116" s="36"/>
      <c r="X116" s="272"/>
    </row>
    <row r="117" spans="1:24" ht="14.1" customHeight="1" x14ac:dyDescent="0.2">
      <c r="A117" s="271"/>
      <c r="B117" s="760"/>
      <c r="C117" s="761"/>
      <c r="D117" s="762"/>
      <c r="E117" s="762"/>
      <c r="F117" s="762"/>
      <c r="G117" s="762"/>
      <c r="H117" s="762"/>
      <c r="I117" s="762"/>
      <c r="J117" s="762"/>
      <c r="K117" s="762"/>
      <c r="L117" s="762"/>
      <c r="M117" s="762"/>
      <c r="N117" s="773"/>
      <c r="O117" s="36"/>
      <c r="P117" s="36"/>
      <c r="Q117" s="264"/>
      <c r="R117" s="54"/>
      <c r="S117" s="36"/>
      <c r="T117" s="36"/>
      <c r="U117" s="36"/>
      <c r="V117" s="36"/>
      <c r="W117" s="36"/>
      <c r="X117" s="272"/>
    </row>
    <row r="118" spans="1:24" ht="14.1" customHeight="1" x14ac:dyDescent="0.2">
      <c r="A118" s="271"/>
      <c r="B118" s="760"/>
      <c r="C118" s="774"/>
      <c r="D118" s="775"/>
      <c r="E118" s="775"/>
      <c r="F118" s="775"/>
      <c r="G118" s="775"/>
      <c r="H118" s="775"/>
      <c r="I118" s="775"/>
      <c r="J118" s="775"/>
      <c r="K118" s="775"/>
      <c r="L118" s="775"/>
      <c r="M118" s="775"/>
      <c r="N118" s="776"/>
      <c r="O118" s="36"/>
      <c r="P118" s="36"/>
      <c r="Q118" s="264"/>
      <c r="R118" s="54"/>
      <c r="S118" s="36"/>
      <c r="T118" s="36"/>
      <c r="U118" s="36"/>
      <c r="V118" s="36"/>
      <c r="W118" s="36"/>
      <c r="X118" s="272"/>
    </row>
    <row r="119" spans="1:24" ht="14.1" customHeight="1" x14ac:dyDescent="0.2">
      <c r="A119" s="271"/>
      <c r="B119" s="318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6"/>
      <c r="P119" s="36"/>
      <c r="Q119" s="264"/>
      <c r="R119" s="54"/>
      <c r="S119" s="36"/>
      <c r="T119" s="36"/>
      <c r="U119" s="36"/>
      <c r="V119" s="36"/>
      <c r="W119" s="36"/>
      <c r="X119" s="272"/>
    </row>
    <row r="120" spans="1:24" ht="21" customHeight="1" x14ac:dyDescent="0.2">
      <c r="A120" s="271"/>
      <c r="B120" s="318"/>
      <c r="C120" s="755" t="s">
        <v>453</v>
      </c>
      <c r="D120" s="755"/>
      <c r="E120" s="755"/>
      <c r="F120" s="755"/>
      <c r="G120" s="755"/>
      <c r="H120" s="755"/>
      <c r="I120" s="755"/>
      <c r="J120" s="755"/>
      <c r="K120" s="755"/>
      <c r="L120" s="755"/>
      <c r="M120" s="319"/>
      <c r="N120" s="319"/>
      <c r="O120" s="36"/>
      <c r="P120" s="36"/>
      <c r="Q120" s="264"/>
      <c r="R120" s="54"/>
      <c r="S120" s="36"/>
      <c r="T120" s="36"/>
      <c r="U120" s="36"/>
      <c r="V120" s="36"/>
      <c r="W120" s="36"/>
      <c r="X120" s="272"/>
    </row>
    <row r="121" spans="1:24" ht="24" customHeight="1" x14ac:dyDescent="0.2">
      <c r="A121" s="271"/>
      <c r="B121" s="318"/>
      <c r="C121" s="319"/>
      <c r="D121" s="319"/>
      <c r="E121" s="319"/>
      <c r="F121" s="319"/>
      <c r="G121" s="319"/>
      <c r="H121" s="319"/>
      <c r="I121" s="319"/>
      <c r="J121" s="521" t="str">
        <f>IF(R121=0,"Please, answer the following questions","")</f>
        <v>Please, answer the following questions</v>
      </c>
      <c r="K121" s="319"/>
      <c r="L121" s="319"/>
      <c r="M121" s="319"/>
      <c r="N121" s="319"/>
      <c r="O121" s="36"/>
      <c r="P121" s="36"/>
      <c r="Q121" s="288" t="s">
        <v>304</v>
      </c>
      <c r="R121" s="54">
        <f>IF(COUNT(R123:R126,R130:R133)&gt;0,1,0)</f>
        <v>0</v>
      </c>
      <c r="S121" s="36"/>
      <c r="T121" s="36"/>
      <c r="U121" s="36"/>
      <c r="V121" s="36"/>
      <c r="W121" s="36"/>
      <c r="X121" s="272"/>
    </row>
    <row r="122" spans="1:24" ht="23.25" customHeight="1" x14ac:dyDescent="0.2">
      <c r="A122" s="271"/>
      <c r="B122" s="36"/>
      <c r="C122" s="756" t="s">
        <v>135</v>
      </c>
      <c r="D122" s="756"/>
      <c r="E122" s="756"/>
      <c r="F122" s="756"/>
      <c r="G122" s="756"/>
      <c r="H122" s="756"/>
      <c r="I122" s="756"/>
      <c r="J122" s="756"/>
      <c r="K122" s="36"/>
      <c r="L122" s="36"/>
      <c r="M122" s="36"/>
      <c r="N122" s="36"/>
      <c r="O122" s="36"/>
      <c r="P122" s="36"/>
      <c r="S122" s="36"/>
      <c r="T122" s="36"/>
      <c r="U122" s="36"/>
      <c r="V122" s="36"/>
      <c r="W122" s="36"/>
      <c r="X122" s="272"/>
    </row>
    <row r="123" spans="1:24" ht="24.75" x14ac:dyDescent="0.2">
      <c r="A123" s="271"/>
      <c r="B123" s="36"/>
      <c r="C123" s="769" t="s">
        <v>132</v>
      </c>
      <c r="D123" s="769"/>
      <c r="E123" s="769"/>
      <c r="F123" s="769"/>
      <c r="G123" s="769"/>
      <c r="H123" s="769"/>
      <c r="I123" s="73"/>
      <c r="J123" s="537"/>
      <c r="K123" s="36"/>
      <c r="L123" s="36"/>
      <c r="M123" s="36"/>
      <c r="N123" s="36"/>
      <c r="O123" s="36"/>
      <c r="P123" s="36"/>
      <c r="Q123" s="264">
        <v>0</v>
      </c>
      <c r="R123" s="89" t="str">
        <f>IF(J123="","",Q123)</f>
        <v/>
      </c>
      <c r="S123" s="36"/>
      <c r="T123" s="36"/>
      <c r="U123" s="36"/>
      <c r="V123" s="36"/>
      <c r="W123" s="36"/>
      <c r="X123" s="272"/>
    </row>
    <row r="124" spans="1:24" ht="24.75" x14ac:dyDescent="0.2">
      <c r="A124" s="271"/>
      <c r="B124" s="36"/>
      <c r="C124" s="769" t="s">
        <v>133</v>
      </c>
      <c r="D124" s="769"/>
      <c r="E124" s="769"/>
      <c r="F124" s="769"/>
      <c r="G124" s="769"/>
      <c r="H124" s="769"/>
      <c r="I124" s="73"/>
      <c r="J124" s="537"/>
      <c r="K124" s="36"/>
      <c r="L124" s="36"/>
      <c r="M124" s="36"/>
      <c r="N124" s="36"/>
      <c r="O124" s="36"/>
      <c r="P124" s="36"/>
      <c r="Q124" s="264">
        <v>2</v>
      </c>
      <c r="R124" s="89" t="str">
        <f>IF(J124="","",Q124)</f>
        <v/>
      </c>
      <c r="S124" s="36"/>
      <c r="T124" s="36"/>
      <c r="U124" s="36"/>
      <c r="V124" s="36"/>
      <c r="W124" s="36"/>
      <c r="X124" s="272"/>
    </row>
    <row r="125" spans="1:24" ht="24.75" x14ac:dyDescent="0.2">
      <c r="A125" s="271"/>
      <c r="B125" s="36"/>
      <c r="C125" s="769" t="s">
        <v>134</v>
      </c>
      <c r="D125" s="769"/>
      <c r="E125" s="769"/>
      <c r="F125" s="769"/>
      <c r="G125" s="769"/>
      <c r="H125" s="769"/>
      <c r="I125" s="73"/>
      <c r="J125" s="537"/>
      <c r="K125" s="36"/>
      <c r="L125" s="36"/>
      <c r="M125" s="36"/>
      <c r="N125" s="36"/>
      <c r="O125" s="36"/>
      <c r="P125" s="36"/>
      <c r="Q125" s="264">
        <v>4</v>
      </c>
      <c r="R125" s="89" t="str">
        <f>IF(J125="","",Q125)</f>
        <v/>
      </c>
      <c r="S125" s="36"/>
      <c r="T125" s="36"/>
      <c r="U125" s="36"/>
      <c r="V125" s="36"/>
      <c r="W125" s="36"/>
      <c r="X125" s="272"/>
    </row>
    <row r="126" spans="1:24" ht="24.75" x14ac:dyDescent="0.2">
      <c r="A126" s="271"/>
      <c r="B126" s="36"/>
      <c r="C126" s="814" t="s">
        <v>240</v>
      </c>
      <c r="D126" s="769"/>
      <c r="E126" s="769"/>
      <c r="F126" s="769"/>
      <c r="G126" s="769"/>
      <c r="H126" s="769"/>
      <c r="I126" s="73"/>
      <c r="J126" s="537"/>
      <c r="K126" s="36"/>
      <c r="L126" s="36"/>
      <c r="M126" s="36"/>
      <c r="N126" s="36"/>
      <c r="O126" s="36"/>
      <c r="P126" s="36"/>
      <c r="Q126" s="264">
        <v>8</v>
      </c>
      <c r="R126" s="89" t="str">
        <f>IF(J126="","",Q126)</f>
        <v/>
      </c>
      <c r="S126" s="36"/>
      <c r="T126" s="36"/>
      <c r="U126" s="36"/>
      <c r="V126" s="36"/>
      <c r="W126" s="36"/>
      <c r="X126" s="272"/>
    </row>
    <row r="127" spans="1:24" ht="21" hidden="1" thickBot="1" x14ac:dyDescent="0.25">
      <c r="A127" s="271"/>
      <c r="B127" s="36"/>
      <c r="C127" s="74"/>
      <c r="D127" s="74"/>
      <c r="E127" s="74"/>
      <c r="F127" s="74"/>
      <c r="G127" s="74"/>
      <c r="H127" s="74" t="s">
        <v>9</v>
      </c>
      <c r="I127" s="13"/>
      <c r="J127" s="75">
        <f>R127</f>
        <v>0</v>
      </c>
      <c r="K127" s="36"/>
      <c r="L127" s="36"/>
      <c r="M127" s="36"/>
      <c r="N127" s="36"/>
      <c r="O127" s="36"/>
      <c r="P127" s="36"/>
      <c r="Q127" s="264"/>
      <c r="R127" s="89">
        <f>SUM(R123:R126)</f>
        <v>0</v>
      </c>
      <c r="S127" s="36"/>
      <c r="T127" s="36"/>
      <c r="U127" s="36"/>
      <c r="V127" s="36"/>
      <c r="W127" s="36"/>
      <c r="X127" s="272"/>
    </row>
    <row r="128" spans="1:24" ht="20.25" x14ac:dyDescent="0.2">
      <c r="A128" s="271"/>
      <c r="B128" s="36"/>
      <c r="C128" s="130"/>
      <c r="D128" s="130"/>
      <c r="E128" s="130"/>
      <c r="F128" s="130"/>
      <c r="G128" s="130"/>
      <c r="H128" s="130"/>
      <c r="I128" s="36"/>
      <c r="J128" s="325"/>
      <c r="K128" s="36"/>
      <c r="L128" s="36"/>
      <c r="M128" s="36"/>
      <c r="N128" s="36"/>
      <c r="O128" s="36"/>
      <c r="P128" s="36"/>
      <c r="Q128" s="264"/>
      <c r="R128" s="54"/>
      <c r="S128" s="36"/>
      <c r="T128" s="36"/>
      <c r="U128" s="36"/>
      <c r="V128" s="36"/>
      <c r="W128" s="36"/>
      <c r="X128" s="272"/>
    </row>
    <row r="129" spans="1:24" ht="24" customHeight="1" x14ac:dyDescent="0.25">
      <c r="A129" s="271"/>
      <c r="B129" s="36"/>
      <c r="C129" s="756" t="s">
        <v>136</v>
      </c>
      <c r="D129" s="756"/>
      <c r="E129" s="756"/>
      <c r="F129" s="756"/>
      <c r="G129" s="756"/>
      <c r="H129" s="756"/>
      <c r="I129" s="756"/>
      <c r="J129" s="756"/>
      <c r="K129" s="36"/>
      <c r="L129" s="36"/>
      <c r="M129" s="36"/>
      <c r="N129" s="36"/>
      <c r="O129" s="36"/>
      <c r="P129" s="36"/>
      <c r="Q129" s="264"/>
      <c r="R129" s="250"/>
      <c r="S129" s="36"/>
      <c r="T129" s="36"/>
      <c r="U129" s="36"/>
      <c r="V129" s="36"/>
      <c r="W129" s="36"/>
      <c r="X129" s="272"/>
    </row>
    <row r="130" spans="1:24" ht="24.75" x14ac:dyDescent="0.2">
      <c r="A130" s="271"/>
      <c r="B130" s="36"/>
      <c r="C130" s="814" t="s">
        <v>239</v>
      </c>
      <c r="D130" s="769"/>
      <c r="E130" s="769"/>
      <c r="F130" s="769"/>
      <c r="G130" s="769"/>
      <c r="H130" s="769"/>
      <c r="I130" s="73"/>
      <c r="J130" s="537"/>
      <c r="K130" s="36"/>
      <c r="L130" s="36"/>
      <c r="M130" s="36"/>
      <c r="N130" s="36"/>
      <c r="O130" s="36"/>
      <c r="P130" s="36"/>
      <c r="Q130" s="264">
        <v>0</v>
      </c>
      <c r="R130" s="89" t="str">
        <f>IF(J130="","",Q130)</f>
        <v/>
      </c>
      <c r="S130" s="36"/>
      <c r="T130" s="36"/>
      <c r="U130" s="36"/>
      <c r="V130" s="36"/>
      <c r="W130" s="36"/>
      <c r="X130" s="272"/>
    </row>
    <row r="131" spans="1:24" ht="24.75" x14ac:dyDescent="0.2">
      <c r="A131" s="271"/>
      <c r="B131" s="36"/>
      <c r="C131" s="769" t="s">
        <v>133</v>
      </c>
      <c r="D131" s="769"/>
      <c r="E131" s="769"/>
      <c r="F131" s="769"/>
      <c r="G131" s="769"/>
      <c r="H131" s="769"/>
      <c r="I131" s="73"/>
      <c r="J131" s="537"/>
      <c r="K131" s="36"/>
      <c r="L131" s="36"/>
      <c r="M131" s="36"/>
      <c r="N131" s="36"/>
      <c r="O131" s="36"/>
      <c r="P131" s="36"/>
      <c r="Q131" s="264">
        <v>2</v>
      </c>
      <c r="R131" s="89" t="str">
        <f>IF(J131="","",Q131)</f>
        <v/>
      </c>
      <c r="S131" s="36"/>
      <c r="T131" s="36"/>
      <c r="U131" s="36"/>
      <c r="V131" s="36"/>
      <c r="W131" s="36"/>
      <c r="X131" s="272"/>
    </row>
    <row r="132" spans="1:24" ht="24.75" x14ac:dyDescent="0.2">
      <c r="A132" s="271"/>
      <c r="B132" s="36"/>
      <c r="C132" s="769" t="s">
        <v>134</v>
      </c>
      <c r="D132" s="769"/>
      <c r="E132" s="769"/>
      <c r="F132" s="769"/>
      <c r="G132" s="769"/>
      <c r="H132" s="769"/>
      <c r="I132" s="73"/>
      <c r="J132" s="537"/>
      <c r="K132" s="36"/>
      <c r="L132" s="36"/>
      <c r="M132" s="36"/>
      <c r="N132" s="36"/>
      <c r="O132" s="36"/>
      <c r="P132" s="36"/>
      <c r="Q132" s="264">
        <v>3</v>
      </c>
      <c r="R132" s="89" t="str">
        <f>IF(J132="","",Q132)</f>
        <v/>
      </c>
      <c r="S132" s="36"/>
      <c r="V132" s="36"/>
      <c r="W132" s="36"/>
      <c r="X132" s="272"/>
    </row>
    <row r="133" spans="1:24" ht="22.5" customHeight="1" thickBot="1" x14ac:dyDescent="0.25">
      <c r="A133" s="271"/>
      <c r="B133" s="36"/>
      <c r="C133" s="814" t="s">
        <v>240</v>
      </c>
      <c r="D133" s="769"/>
      <c r="E133" s="769"/>
      <c r="F133" s="769"/>
      <c r="G133" s="769"/>
      <c r="H133" s="769"/>
      <c r="I133" s="73"/>
      <c r="J133" s="537"/>
      <c r="K133" s="36"/>
      <c r="L133" s="36"/>
      <c r="M133" s="36"/>
      <c r="N133" s="36"/>
      <c r="O133" s="36"/>
      <c r="P133" s="36"/>
      <c r="Q133" s="264">
        <v>6</v>
      </c>
      <c r="R133" s="89" t="str">
        <f>IF(J133="","",Q133)</f>
        <v/>
      </c>
      <c r="S133" s="36"/>
      <c r="T133" s="251">
        <f>SUM(R130:R133)</f>
        <v>0</v>
      </c>
      <c r="U133" s="36" t="s">
        <v>26</v>
      </c>
      <c r="V133" s="36"/>
      <c r="W133" s="36"/>
      <c r="X133" s="272"/>
    </row>
    <row r="134" spans="1:24" ht="24.95" customHeight="1" thickBot="1" x14ac:dyDescent="0.25">
      <c r="A134" s="271"/>
      <c r="B134" s="36"/>
      <c r="C134" s="833" t="s">
        <v>219</v>
      </c>
      <c r="D134" s="834"/>
      <c r="E134" s="834"/>
      <c r="F134" s="834"/>
      <c r="G134" s="834"/>
      <c r="H134" s="834"/>
      <c r="I134" s="834"/>
      <c r="J134" s="835"/>
      <c r="K134" s="36"/>
      <c r="L134" s="36"/>
      <c r="M134" s="36"/>
      <c r="N134" s="163"/>
      <c r="O134" s="36"/>
      <c r="P134" s="36"/>
      <c r="Q134" s="264"/>
      <c r="R134" s="54"/>
      <c r="S134" s="36"/>
      <c r="T134" s="262">
        <f>R127+T133</f>
        <v>0</v>
      </c>
      <c r="U134" s="263" t="str">
        <f>IF(R121=1,IF(T134/8&gt;100%,100%,T134/8),"")</f>
        <v/>
      </c>
      <c r="V134" s="36"/>
      <c r="W134" s="36"/>
      <c r="X134" s="272"/>
    </row>
    <row r="135" spans="1:24" ht="12.75" customHeight="1" x14ac:dyDescent="0.2">
      <c r="A135" s="271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264"/>
      <c r="R135" s="54"/>
      <c r="S135" s="36"/>
      <c r="T135" s="36"/>
      <c r="U135" s="36"/>
      <c r="V135" s="36"/>
      <c r="W135" s="36"/>
      <c r="X135" s="272"/>
    </row>
    <row r="136" spans="1:24" ht="14.1" customHeight="1" x14ac:dyDescent="0.2">
      <c r="A136" s="271"/>
      <c r="B136" s="760" t="s">
        <v>11</v>
      </c>
      <c r="C136" s="770" t="s">
        <v>524</v>
      </c>
      <c r="D136" s="771"/>
      <c r="E136" s="771"/>
      <c r="F136" s="771"/>
      <c r="G136" s="771"/>
      <c r="H136" s="771"/>
      <c r="I136" s="771"/>
      <c r="J136" s="771"/>
      <c r="K136" s="771"/>
      <c r="L136" s="771"/>
      <c r="M136" s="771"/>
      <c r="N136" s="772"/>
      <c r="O136" s="36"/>
      <c r="P136" s="36"/>
      <c r="Q136" s="264"/>
      <c r="R136" s="54"/>
      <c r="S136" s="36"/>
      <c r="T136" s="36"/>
      <c r="U136" s="36"/>
      <c r="V136" s="36"/>
      <c r="W136" s="36"/>
      <c r="X136" s="272"/>
    </row>
    <row r="137" spans="1:24" ht="14.1" customHeight="1" x14ac:dyDescent="0.2">
      <c r="A137" s="271"/>
      <c r="B137" s="760"/>
      <c r="C137" s="761"/>
      <c r="D137" s="762"/>
      <c r="E137" s="762"/>
      <c r="F137" s="762"/>
      <c r="G137" s="762"/>
      <c r="H137" s="762"/>
      <c r="I137" s="762"/>
      <c r="J137" s="762"/>
      <c r="K137" s="762"/>
      <c r="L137" s="762"/>
      <c r="M137" s="762"/>
      <c r="N137" s="773"/>
      <c r="O137" s="36"/>
      <c r="P137" s="36"/>
      <c r="Q137" s="264"/>
      <c r="R137" s="54"/>
      <c r="S137" s="36"/>
      <c r="T137" s="36"/>
      <c r="U137" s="36"/>
      <c r="V137" s="36"/>
      <c r="W137" s="36"/>
      <c r="X137" s="272"/>
    </row>
    <row r="138" spans="1:24" ht="14.1" customHeight="1" x14ac:dyDescent="0.2">
      <c r="A138" s="271"/>
      <c r="B138" s="760"/>
      <c r="C138" s="774"/>
      <c r="D138" s="775"/>
      <c r="E138" s="775"/>
      <c r="F138" s="775"/>
      <c r="G138" s="775"/>
      <c r="H138" s="775"/>
      <c r="I138" s="775"/>
      <c r="J138" s="775"/>
      <c r="K138" s="775"/>
      <c r="L138" s="775"/>
      <c r="M138" s="775"/>
      <c r="N138" s="776"/>
      <c r="O138" s="36"/>
      <c r="P138" s="36"/>
      <c r="Q138" s="264"/>
      <c r="R138" s="54"/>
      <c r="S138" s="36"/>
      <c r="T138" s="36"/>
      <c r="U138" s="36"/>
      <c r="V138" s="36"/>
      <c r="W138" s="36"/>
      <c r="X138" s="272"/>
    </row>
    <row r="139" spans="1:24" ht="22.5" customHeight="1" x14ac:dyDescent="0.2">
      <c r="A139" s="271"/>
      <c r="B139" s="36"/>
      <c r="C139" s="36"/>
      <c r="D139" s="36"/>
      <c r="E139" s="36"/>
      <c r="F139" s="36"/>
      <c r="G139" s="460"/>
      <c r="H139" s="36"/>
      <c r="I139" s="36"/>
      <c r="J139" s="521" t="str">
        <f>IF(R139=0,"Please, answer the following questions","")</f>
        <v>Please, answer the following questions</v>
      </c>
      <c r="K139" s="36"/>
      <c r="L139" s="36"/>
      <c r="M139" s="36"/>
      <c r="N139" s="36"/>
      <c r="O139" s="36"/>
      <c r="P139" s="36"/>
      <c r="Q139" s="288" t="s">
        <v>304</v>
      </c>
      <c r="R139" s="54">
        <f>IF(COUNT(R140:R144,R147:R149)&gt;0,1,0)</f>
        <v>0</v>
      </c>
      <c r="S139" s="36"/>
      <c r="T139" s="36"/>
      <c r="U139" s="36"/>
      <c r="V139" s="36"/>
      <c r="W139" s="36"/>
      <c r="X139" s="272"/>
    </row>
    <row r="140" spans="1:24" ht="21" customHeight="1" x14ac:dyDescent="0.2">
      <c r="A140" s="271"/>
      <c r="B140" s="36"/>
      <c r="C140" s="832" t="s">
        <v>238</v>
      </c>
      <c r="D140" s="830"/>
      <c r="E140" s="830"/>
      <c r="F140" s="830"/>
      <c r="G140" s="830"/>
      <c r="H140" s="831"/>
      <c r="I140" s="73"/>
      <c r="J140" s="537"/>
      <c r="K140" s="36"/>
      <c r="L140" s="36"/>
      <c r="M140" s="36"/>
      <c r="N140" s="36"/>
      <c r="O140" s="36"/>
      <c r="P140" s="36"/>
      <c r="Q140" s="264">
        <v>0</v>
      </c>
      <c r="R140" s="255" t="str">
        <f>IF(J140="","",Q140)</f>
        <v/>
      </c>
      <c r="S140" s="36"/>
      <c r="T140" s="36"/>
      <c r="U140" s="36"/>
      <c r="V140" s="36"/>
      <c r="W140" s="36"/>
      <c r="X140" s="272"/>
    </row>
    <row r="141" spans="1:24" ht="21" customHeight="1" x14ac:dyDescent="0.2">
      <c r="A141" s="271"/>
      <c r="B141" s="36"/>
      <c r="C141" s="816" t="s">
        <v>137</v>
      </c>
      <c r="D141" s="816"/>
      <c r="E141" s="816"/>
      <c r="F141" s="829" t="s">
        <v>138</v>
      </c>
      <c r="G141" s="830"/>
      <c r="H141" s="831"/>
      <c r="I141" s="73"/>
      <c r="J141" s="537"/>
      <c r="K141" s="36"/>
      <c r="L141" s="36"/>
      <c r="M141" s="36"/>
      <c r="N141" s="36"/>
      <c r="O141" s="36"/>
      <c r="P141" s="36"/>
      <c r="Q141" s="264">
        <v>1</v>
      </c>
      <c r="R141" s="255" t="str">
        <f>IF(J141="","",Q141)</f>
        <v/>
      </c>
      <c r="S141" s="36"/>
      <c r="T141" s="36"/>
      <c r="U141" s="36"/>
      <c r="V141" s="36"/>
      <c r="W141" s="36"/>
      <c r="X141" s="272"/>
    </row>
    <row r="142" spans="1:24" ht="21" customHeight="1" x14ac:dyDescent="0.2">
      <c r="A142" s="271"/>
      <c r="B142" s="36"/>
      <c r="C142" s="816"/>
      <c r="D142" s="816"/>
      <c r="E142" s="816"/>
      <c r="F142" s="829" t="s">
        <v>139</v>
      </c>
      <c r="G142" s="830"/>
      <c r="H142" s="831"/>
      <c r="I142" s="73"/>
      <c r="J142" s="537"/>
      <c r="K142" s="36"/>
      <c r="L142" s="36"/>
      <c r="M142" s="36"/>
      <c r="N142" s="36"/>
      <c r="O142" s="36"/>
      <c r="P142" s="36"/>
      <c r="Q142" s="264">
        <v>4</v>
      </c>
      <c r="R142" s="255" t="str">
        <f>IF(J142="","",Q142)</f>
        <v/>
      </c>
      <c r="S142" s="36"/>
      <c r="T142" s="36"/>
      <c r="U142" s="36"/>
      <c r="V142" s="36"/>
      <c r="W142" s="36"/>
      <c r="X142" s="272"/>
    </row>
    <row r="143" spans="1:24" ht="21" customHeight="1" x14ac:dyDescent="0.2">
      <c r="A143" s="271"/>
      <c r="B143" s="36"/>
      <c r="C143" s="815" t="s">
        <v>237</v>
      </c>
      <c r="D143" s="816"/>
      <c r="E143" s="816"/>
      <c r="F143" s="829" t="s">
        <v>140</v>
      </c>
      <c r="G143" s="830"/>
      <c r="H143" s="831"/>
      <c r="I143" s="73"/>
      <c r="J143" s="537"/>
      <c r="K143" s="36"/>
      <c r="L143" s="36"/>
      <c r="M143" s="36"/>
      <c r="N143" s="36"/>
      <c r="O143" s="36"/>
      <c r="P143" s="36"/>
      <c r="Q143" s="264">
        <v>1</v>
      </c>
      <c r="R143" s="255" t="str">
        <f>IF(J143="","",Q143)</f>
        <v/>
      </c>
      <c r="S143" s="36"/>
      <c r="V143" s="36"/>
      <c r="W143" s="36"/>
      <c r="X143" s="272"/>
    </row>
    <row r="144" spans="1:24" ht="21" customHeight="1" x14ac:dyDescent="0.2">
      <c r="A144" s="271"/>
      <c r="B144" s="36"/>
      <c r="C144" s="816"/>
      <c r="D144" s="816"/>
      <c r="E144" s="816"/>
      <c r="F144" s="829" t="s">
        <v>139</v>
      </c>
      <c r="G144" s="830"/>
      <c r="H144" s="831"/>
      <c r="I144" s="73"/>
      <c r="J144" s="537"/>
      <c r="K144" s="36"/>
      <c r="L144" s="36"/>
      <c r="M144" s="36"/>
      <c r="N144" s="36"/>
      <c r="O144" s="36"/>
      <c r="P144" s="36"/>
      <c r="Q144" s="264">
        <v>4</v>
      </c>
      <c r="R144" s="255" t="str">
        <f>IF(J144="","",Q144)</f>
        <v/>
      </c>
      <c r="S144" s="36"/>
      <c r="V144" s="36"/>
      <c r="W144" s="36"/>
      <c r="X144" s="272"/>
    </row>
    <row r="145" spans="1:24" x14ac:dyDescent="0.2">
      <c r="A145" s="271"/>
      <c r="B145" s="36"/>
      <c r="C145" s="82"/>
      <c r="D145" s="71"/>
      <c r="E145" s="71"/>
      <c r="F145" s="71"/>
      <c r="G145" s="83"/>
      <c r="H145" s="36"/>
      <c r="I145" s="36"/>
      <c r="J145" s="36"/>
      <c r="K145" s="36"/>
      <c r="L145" s="36"/>
      <c r="M145" s="36"/>
      <c r="N145" s="36"/>
      <c r="O145" s="36"/>
      <c r="P145" s="36"/>
      <c r="Q145" s="264"/>
      <c r="R145" s="60"/>
      <c r="S145" s="36"/>
      <c r="T145" s="36"/>
      <c r="U145" s="36"/>
      <c r="V145" s="36"/>
      <c r="W145" s="36"/>
      <c r="X145" s="272"/>
    </row>
    <row r="146" spans="1:24" x14ac:dyDescent="0.2">
      <c r="A146" s="271"/>
      <c r="B146" s="36"/>
      <c r="C146" s="84" t="s">
        <v>223</v>
      </c>
      <c r="D146" s="84"/>
      <c r="E146" s="84"/>
      <c r="F146" s="84"/>
      <c r="G146" s="84"/>
      <c r="H146" s="84"/>
      <c r="I146" s="84"/>
      <c r="J146" s="84"/>
      <c r="K146" s="36"/>
      <c r="L146" s="36"/>
      <c r="M146" s="36"/>
      <c r="N146" s="36"/>
      <c r="O146" s="36"/>
      <c r="P146" s="36"/>
      <c r="Q146" s="264"/>
      <c r="R146" s="60"/>
      <c r="S146" s="36"/>
      <c r="T146" s="36"/>
      <c r="U146" s="36"/>
      <c r="V146" s="36"/>
      <c r="W146" s="36"/>
      <c r="X146" s="272"/>
    </row>
    <row r="147" spans="1:24" ht="21" customHeight="1" x14ac:dyDescent="0.2">
      <c r="A147" s="271"/>
      <c r="B147" s="36"/>
      <c r="C147" s="513" t="s">
        <v>224</v>
      </c>
      <c r="D147" s="514"/>
      <c r="E147" s="514"/>
      <c r="F147" s="514"/>
      <c r="G147" s="514"/>
      <c r="H147" s="515"/>
      <c r="I147" s="85"/>
      <c r="J147" s="538"/>
      <c r="K147" s="36"/>
      <c r="L147" s="36"/>
      <c r="M147" s="36"/>
      <c r="N147" s="36"/>
      <c r="O147" s="36"/>
      <c r="P147" s="36"/>
      <c r="Q147" s="264">
        <v>1</v>
      </c>
      <c r="R147" s="255" t="str">
        <f>IF(J147="","",Q147)</f>
        <v/>
      </c>
      <c r="S147" s="36"/>
      <c r="T147" s="36"/>
      <c r="U147" s="36"/>
      <c r="V147" s="36"/>
      <c r="W147" s="36"/>
      <c r="X147" s="272"/>
    </row>
    <row r="148" spans="1:24" ht="21" customHeight="1" x14ac:dyDescent="0.2">
      <c r="A148" s="271"/>
      <c r="B148" s="36"/>
      <c r="C148" s="513" t="s">
        <v>225</v>
      </c>
      <c r="D148" s="514"/>
      <c r="E148" s="514"/>
      <c r="F148" s="514"/>
      <c r="G148" s="514"/>
      <c r="H148" s="515"/>
      <c r="I148" s="85"/>
      <c r="J148" s="538"/>
      <c r="K148" s="36"/>
      <c r="L148" s="36"/>
      <c r="M148" s="36"/>
      <c r="N148" s="36"/>
      <c r="O148" s="36"/>
      <c r="P148" s="36"/>
      <c r="Q148" s="264">
        <v>2</v>
      </c>
      <c r="R148" s="255" t="str">
        <f>IF(J148="","",Q148)</f>
        <v/>
      </c>
      <c r="S148" s="36"/>
      <c r="T148" s="36"/>
      <c r="U148" s="36"/>
      <c r="V148" s="36"/>
      <c r="W148" s="36"/>
      <c r="X148" s="272"/>
    </row>
    <row r="149" spans="1:24" ht="21" customHeight="1" x14ac:dyDescent="0.2">
      <c r="A149" s="271"/>
      <c r="B149" s="36"/>
      <c r="C149" s="513" t="s">
        <v>226</v>
      </c>
      <c r="D149" s="514"/>
      <c r="E149" s="514"/>
      <c r="F149" s="514"/>
      <c r="G149" s="514"/>
      <c r="H149" s="515"/>
      <c r="I149" s="85"/>
      <c r="J149" s="538"/>
      <c r="K149" s="36"/>
      <c r="L149" s="36"/>
      <c r="M149" s="36"/>
      <c r="N149" s="36"/>
      <c r="O149" s="36"/>
      <c r="P149" s="36"/>
      <c r="Q149" s="264">
        <v>4</v>
      </c>
      <c r="R149" s="255" t="str">
        <f>IF(J149="","",Q149)</f>
        <v/>
      </c>
      <c r="S149" s="36"/>
      <c r="T149" s="36"/>
      <c r="U149" s="36"/>
      <c r="V149" s="36"/>
      <c r="W149" s="36"/>
      <c r="X149" s="272"/>
    </row>
    <row r="150" spans="1:24" ht="23.85" customHeight="1" thickBot="1" x14ac:dyDescent="0.25">
      <c r="A150" s="271"/>
      <c r="B150" s="36"/>
      <c r="C150" s="804" t="s">
        <v>219</v>
      </c>
      <c r="D150" s="805"/>
      <c r="E150" s="805"/>
      <c r="F150" s="805"/>
      <c r="G150" s="805"/>
      <c r="H150" s="806"/>
      <c r="I150" s="70"/>
      <c r="J150" s="36"/>
      <c r="K150" s="36"/>
      <c r="L150" s="36"/>
      <c r="M150" s="36"/>
      <c r="N150" s="36"/>
      <c r="O150" s="36"/>
      <c r="P150" s="36"/>
      <c r="Q150" s="264"/>
      <c r="R150" s="54"/>
      <c r="S150" s="36"/>
      <c r="T150" s="36"/>
      <c r="U150" s="36" t="s">
        <v>27</v>
      </c>
      <c r="V150" s="36"/>
      <c r="W150" s="36"/>
      <c r="X150" s="272"/>
    </row>
    <row r="151" spans="1:24" ht="24.95" customHeight="1" thickBot="1" x14ac:dyDescent="0.25">
      <c r="A151" s="27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163"/>
      <c r="O151" s="36"/>
      <c r="P151" s="36"/>
      <c r="Q151" s="264"/>
      <c r="R151" s="54"/>
      <c r="S151" s="36"/>
      <c r="T151" s="262">
        <f>SUM(R140:R149)</f>
        <v>0</v>
      </c>
      <c r="U151" s="263" t="str">
        <f>IF(R139=1,IF(T151/4&gt;100%,100%,T151/4),"")</f>
        <v/>
      </c>
      <c r="V151" s="36"/>
      <c r="W151" s="36"/>
      <c r="X151" s="272"/>
    </row>
    <row r="152" spans="1:24" ht="12.75" customHeight="1" x14ac:dyDescent="0.2">
      <c r="A152" s="271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264"/>
      <c r="R152" s="54"/>
      <c r="S152" s="36"/>
      <c r="T152" s="36"/>
      <c r="U152" s="36"/>
      <c r="V152" s="36"/>
      <c r="W152" s="36"/>
      <c r="X152" s="272"/>
    </row>
    <row r="153" spans="1:24" ht="14.1" customHeight="1" x14ac:dyDescent="0.2">
      <c r="A153" s="271"/>
      <c r="B153" s="760" t="s">
        <v>23</v>
      </c>
      <c r="C153" s="770" t="s">
        <v>523</v>
      </c>
      <c r="D153" s="771"/>
      <c r="E153" s="771"/>
      <c r="F153" s="771"/>
      <c r="G153" s="771"/>
      <c r="H153" s="771"/>
      <c r="I153" s="771"/>
      <c r="J153" s="771"/>
      <c r="K153" s="771"/>
      <c r="L153" s="771"/>
      <c r="M153" s="771"/>
      <c r="N153" s="772"/>
      <c r="O153" s="36"/>
      <c r="P153" s="36"/>
      <c r="Q153" s="264"/>
      <c r="R153" s="54"/>
      <c r="S153" s="36"/>
      <c r="T153" s="36"/>
      <c r="U153" s="36"/>
      <c r="V153" s="36"/>
      <c r="W153" s="36"/>
      <c r="X153" s="272"/>
    </row>
    <row r="154" spans="1:24" ht="14.1" customHeight="1" x14ac:dyDescent="0.2">
      <c r="A154" s="271"/>
      <c r="B154" s="760"/>
      <c r="C154" s="761"/>
      <c r="D154" s="762"/>
      <c r="E154" s="762"/>
      <c r="F154" s="762"/>
      <c r="G154" s="762"/>
      <c r="H154" s="762"/>
      <c r="I154" s="762"/>
      <c r="J154" s="762"/>
      <c r="K154" s="762"/>
      <c r="L154" s="762"/>
      <c r="M154" s="762"/>
      <c r="N154" s="773"/>
      <c r="O154" s="36"/>
      <c r="P154" s="36"/>
      <c r="Q154" s="264"/>
      <c r="R154" s="54"/>
      <c r="S154" s="36"/>
      <c r="T154" s="36"/>
      <c r="U154" s="36"/>
      <c r="V154" s="36"/>
      <c r="W154" s="36"/>
      <c r="X154" s="272"/>
    </row>
    <row r="155" spans="1:24" ht="14.1" customHeight="1" x14ac:dyDescent="0.2">
      <c r="A155" s="271"/>
      <c r="B155" s="760"/>
      <c r="C155" s="774"/>
      <c r="D155" s="775"/>
      <c r="E155" s="775"/>
      <c r="F155" s="775"/>
      <c r="G155" s="775"/>
      <c r="H155" s="775"/>
      <c r="I155" s="775"/>
      <c r="J155" s="775"/>
      <c r="K155" s="775"/>
      <c r="L155" s="775"/>
      <c r="M155" s="775"/>
      <c r="N155" s="776"/>
      <c r="O155" s="36"/>
      <c r="P155" s="36"/>
      <c r="Q155" s="264"/>
      <c r="R155" s="54"/>
      <c r="S155" s="36"/>
      <c r="T155" s="36"/>
      <c r="U155" s="36"/>
      <c r="V155" s="36"/>
      <c r="W155" s="36"/>
      <c r="X155" s="272"/>
    </row>
    <row r="156" spans="1:24" ht="24" customHeight="1" x14ac:dyDescent="0.2">
      <c r="A156" s="271"/>
      <c r="B156" s="36"/>
      <c r="C156" s="36"/>
      <c r="D156" s="36"/>
      <c r="E156" s="36"/>
      <c r="F156" s="36"/>
      <c r="G156" s="36"/>
      <c r="H156" s="36"/>
      <c r="I156" s="36"/>
      <c r="J156" s="521" t="str">
        <f>IF(R156=0,"Please, answer the following questions","")</f>
        <v>Please, answer the following questions</v>
      </c>
      <c r="K156" s="36"/>
      <c r="L156" s="36"/>
      <c r="M156" s="36"/>
      <c r="N156" s="36"/>
      <c r="O156" s="36"/>
      <c r="P156" s="36"/>
      <c r="Q156" s="288" t="s">
        <v>304</v>
      </c>
      <c r="R156" s="54">
        <f>IF(COUNT(R157:R168)&gt;0,1,0)</f>
        <v>0</v>
      </c>
      <c r="S156" s="36"/>
      <c r="T156" s="36"/>
      <c r="U156" s="36"/>
      <c r="V156" s="36"/>
      <c r="W156" s="36"/>
      <c r="X156" s="272"/>
    </row>
    <row r="157" spans="1:24" ht="21" customHeight="1" x14ac:dyDescent="0.2">
      <c r="A157" s="271"/>
      <c r="B157" s="36"/>
      <c r="C157" s="779" t="s">
        <v>202</v>
      </c>
      <c r="D157" s="754"/>
      <c r="E157" s="754"/>
      <c r="F157" s="754"/>
      <c r="G157" s="754"/>
      <c r="H157" s="754"/>
      <c r="I157" s="73"/>
      <c r="J157" s="537"/>
      <c r="K157" s="36"/>
      <c r="L157" s="36"/>
      <c r="M157" s="36"/>
      <c r="N157" s="36"/>
      <c r="O157" s="36"/>
      <c r="P157" s="36"/>
      <c r="Q157" s="264">
        <v>0</v>
      </c>
      <c r="R157" s="255" t="str">
        <f>IF(J157="","",Q157)</f>
        <v/>
      </c>
      <c r="S157" s="36"/>
      <c r="T157" s="36"/>
      <c r="U157" s="36"/>
      <c r="V157" s="36"/>
      <c r="W157" s="36"/>
      <c r="X157" s="272"/>
    </row>
    <row r="158" spans="1:24" ht="21" customHeight="1" x14ac:dyDescent="0.2">
      <c r="A158" s="271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264"/>
      <c r="R158" s="264"/>
      <c r="S158" s="264"/>
      <c r="T158" s="36"/>
      <c r="U158" s="36"/>
      <c r="V158" s="36"/>
      <c r="W158" s="36"/>
      <c r="X158" s="272"/>
    </row>
    <row r="159" spans="1:24" ht="21" customHeight="1" x14ac:dyDescent="0.2">
      <c r="A159" s="271"/>
      <c r="B159" s="36"/>
      <c r="C159" s="754" t="s">
        <v>141</v>
      </c>
      <c r="D159" s="754"/>
      <c r="E159" s="754"/>
      <c r="F159" s="754"/>
      <c r="G159" s="754"/>
      <c r="H159" s="754"/>
      <c r="I159" s="73"/>
      <c r="J159" s="537"/>
      <c r="K159" s="36"/>
      <c r="L159" s="36"/>
      <c r="M159" s="36"/>
      <c r="N159" s="36"/>
      <c r="O159" s="36"/>
      <c r="P159" s="36"/>
      <c r="Q159" s="264">
        <v>1</v>
      </c>
      <c r="R159" s="255" t="str">
        <f t="shared" ref="R159:R168" si="2">IF(J159="","",Q159)</f>
        <v/>
      </c>
      <c r="S159" s="36"/>
      <c r="T159" s="36"/>
      <c r="U159" s="36"/>
      <c r="V159" s="36"/>
      <c r="W159" s="36"/>
      <c r="X159" s="272"/>
    </row>
    <row r="160" spans="1:24" ht="21" customHeight="1" x14ac:dyDescent="0.2">
      <c r="A160" s="271"/>
      <c r="B160" s="36"/>
      <c r="C160" s="779" t="s">
        <v>156</v>
      </c>
      <c r="D160" s="754"/>
      <c r="E160" s="754"/>
      <c r="F160" s="754"/>
      <c r="G160" s="754"/>
      <c r="H160" s="754"/>
      <c r="I160" s="73"/>
      <c r="J160" s="537"/>
      <c r="K160" s="36"/>
      <c r="L160" s="36"/>
      <c r="M160" s="36"/>
      <c r="N160" s="36"/>
      <c r="O160" s="36"/>
      <c r="P160" s="36"/>
      <c r="Q160" s="264">
        <v>1</v>
      </c>
      <c r="R160" s="255" t="str">
        <f t="shared" si="2"/>
        <v/>
      </c>
      <c r="S160" s="36"/>
      <c r="T160" s="36"/>
      <c r="U160" s="36"/>
      <c r="V160" s="36"/>
      <c r="W160" s="36"/>
      <c r="X160" s="272"/>
    </row>
    <row r="161" spans="1:24" ht="21" customHeight="1" x14ac:dyDescent="0.2">
      <c r="A161" s="271"/>
      <c r="B161" s="36"/>
      <c r="C161" s="754" t="s">
        <v>142</v>
      </c>
      <c r="D161" s="754"/>
      <c r="E161" s="754"/>
      <c r="F161" s="754"/>
      <c r="G161" s="754"/>
      <c r="H161" s="754"/>
      <c r="I161" s="73"/>
      <c r="J161" s="537"/>
      <c r="K161" s="36"/>
      <c r="L161" s="36"/>
      <c r="M161" s="36"/>
      <c r="N161" s="36"/>
      <c r="O161" s="36"/>
      <c r="P161" s="36"/>
      <c r="Q161" s="264">
        <v>1</v>
      </c>
      <c r="R161" s="255" t="str">
        <f t="shared" si="2"/>
        <v/>
      </c>
      <c r="S161" s="36"/>
      <c r="T161" s="36"/>
      <c r="U161" s="36"/>
      <c r="V161" s="36"/>
      <c r="W161" s="36"/>
      <c r="X161" s="272"/>
    </row>
    <row r="162" spans="1:24" ht="21" customHeight="1" x14ac:dyDescent="0.2">
      <c r="A162" s="271"/>
      <c r="B162" s="36"/>
      <c r="C162" s="754" t="s">
        <v>143</v>
      </c>
      <c r="D162" s="754"/>
      <c r="E162" s="754"/>
      <c r="F162" s="754"/>
      <c r="G162" s="754"/>
      <c r="H162" s="754"/>
      <c r="I162" s="73"/>
      <c r="J162" s="537"/>
      <c r="K162" s="36"/>
      <c r="L162" s="36"/>
      <c r="M162" s="36"/>
      <c r="N162" s="36"/>
      <c r="O162" s="36"/>
      <c r="P162" s="36"/>
      <c r="Q162" s="264">
        <v>1</v>
      </c>
      <c r="R162" s="255" t="str">
        <f t="shared" si="2"/>
        <v/>
      </c>
      <c r="S162" s="36"/>
      <c r="T162" s="36"/>
      <c r="U162" s="36"/>
      <c r="V162" s="36"/>
      <c r="W162" s="36"/>
      <c r="X162" s="272"/>
    </row>
    <row r="163" spans="1:24" ht="21" customHeight="1" x14ac:dyDescent="0.2">
      <c r="A163" s="271"/>
      <c r="B163" s="36"/>
      <c r="C163" s="779" t="s">
        <v>236</v>
      </c>
      <c r="D163" s="754"/>
      <c r="E163" s="754"/>
      <c r="F163" s="754"/>
      <c r="G163" s="754"/>
      <c r="H163" s="754"/>
      <c r="I163" s="73"/>
      <c r="J163" s="537"/>
      <c r="K163" s="36"/>
      <c r="L163" s="36"/>
      <c r="M163" s="36"/>
      <c r="N163" s="36"/>
      <c r="O163" s="36"/>
      <c r="P163" s="36"/>
      <c r="Q163" s="264">
        <v>1</v>
      </c>
      <c r="R163" s="255" t="str">
        <f t="shared" si="2"/>
        <v/>
      </c>
      <c r="S163" s="36"/>
      <c r="T163" s="36"/>
      <c r="U163" s="36"/>
      <c r="V163" s="36"/>
      <c r="W163" s="36"/>
      <c r="X163" s="272"/>
    </row>
    <row r="164" spans="1:24" ht="21" customHeight="1" x14ac:dyDescent="0.2">
      <c r="A164" s="271"/>
      <c r="B164" s="36"/>
      <c r="C164" s="827" t="s">
        <v>233</v>
      </c>
      <c r="D164" s="828"/>
      <c r="E164" s="828"/>
      <c r="F164" s="828"/>
      <c r="G164" s="828"/>
      <c r="H164" s="828"/>
      <c r="I164" s="73"/>
      <c r="J164" s="537"/>
      <c r="K164" s="36"/>
      <c r="L164" s="36"/>
      <c r="M164" s="36"/>
      <c r="N164" s="36"/>
      <c r="O164" s="36"/>
      <c r="P164" s="36"/>
      <c r="Q164" s="264">
        <v>2</v>
      </c>
      <c r="R164" s="255" t="str">
        <f t="shared" si="2"/>
        <v/>
      </c>
      <c r="S164" s="36"/>
      <c r="T164" s="36"/>
      <c r="U164" s="36"/>
      <c r="V164" s="36"/>
      <c r="W164" s="36"/>
      <c r="X164" s="272"/>
    </row>
    <row r="165" spans="1:24" ht="21" customHeight="1" x14ac:dyDescent="0.2">
      <c r="A165" s="271"/>
      <c r="B165" s="36"/>
      <c r="C165" s="516" t="s">
        <v>144</v>
      </c>
      <c r="D165" s="517"/>
      <c r="E165" s="517"/>
      <c r="F165" s="517"/>
      <c r="G165" s="517"/>
      <c r="H165" s="518"/>
      <c r="I165" s="87"/>
      <c r="J165" s="537"/>
      <c r="K165" s="36"/>
      <c r="L165" s="36"/>
      <c r="M165" s="36"/>
      <c r="N165" s="36"/>
      <c r="O165" s="36"/>
      <c r="P165" s="36"/>
      <c r="Q165" s="264">
        <v>2</v>
      </c>
      <c r="R165" s="255" t="str">
        <f t="shared" si="2"/>
        <v/>
      </c>
      <c r="S165" s="36"/>
      <c r="T165" s="36"/>
      <c r="V165" s="36"/>
      <c r="W165" s="36"/>
      <c r="X165" s="272"/>
    </row>
    <row r="166" spans="1:24" ht="21" customHeight="1" x14ac:dyDescent="0.2">
      <c r="A166" s="271"/>
      <c r="B166" s="36"/>
      <c r="C166" s="754" t="s">
        <v>145</v>
      </c>
      <c r="D166" s="754"/>
      <c r="E166" s="754"/>
      <c r="F166" s="754"/>
      <c r="G166" s="754"/>
      <c r="H166" s="754"/>
      <c r="I166" s="87"/>
      <c r="J166" s="537"/>
      <c r="K166" s="36"/>
      <c r="L166" s="36"/>
      <c r="M166" s="36"/>
      <c r="N166" s="36"/>
      <c r="O166" s="36"/>
      <c r="P166" s="36"/>
      <c r="Q166" s="264">
        <v>2</v>
      </c>
      <c r="R166" s="255" t="str">
        <f t="shared" si="2"/>
        <v/>
      </c>
      <c r="S166" s="36"/>
      <c r="V166" s="36"/>
      <c r="W166" s="36"/>
      <c r="X166" s="272"/>
    </row>
    <row r="167" spans="1:24" ht="21" customHeight="1" x14ac:dyDescent="0.2">
      <c r="A167" s="271"/>
      <c r="B167" s="36"/>
      <c r="C167" s="826" t="s">
        <v>235</v>
      </c>
      <c r="D167" s="807"/>
      <c r="E167" s="807"/>
      <c r="F167" s="807"/>
      <c r="G167" s="807"/>
      <c r="H167" s="807"/>
      <c r="I167" s="73"/>
      <c r="J167" s="537"/>
      <c r="K167" s="36"/>
      <c r="L167" s="36"/>
      <c r="M167" s="36"/>
      <c r="N167" s="36"/>
      <c r="O167" s="36"/>
      <c r="P167" s="36"/>
      <c r="Q167" s="264">
        <v>8</v>
      </c>
      <c r="R167" s="255" t="str">
        <f t="shared" si="2"/>
        <v/>
      </c>
      <c r="S167" s="36"/>
      <c r="V167" s="36"/>
      <c r="W167" s="36"/>
      <c r="X167" s="272"/>
    </row>
    <row r="168" spans="1:24" ht="21" customHeight="1" thickBot="1" x14ac:dyDescent="0.25">
      <c r="A168" s="271"/>
      <c r="B168" s="36"/>
      <c r="C168" s="807" t="s">
        <v>146</v>
      </c>
      <c r="D168" s="807"/>
      <c r="E168" s="807"/>
      <c r="F168" s="807"/>
      <c r="G168" s="807"/>
      <c r="H168" s="807"/>
      <c r="I168" s="88"/>
      <c r="J168" s="539"/>
      <c r="K168" s="36"/>
      <c r="L168" s="36"/>
      <c r="M168" s="36"/>
      <c r="N168" s="36"/>
      <c r="O168" s="36"/>
      <c r="P168" s="36"/>
      <c r="Q168" s="264">
        <v>8</v>
      </c>
      <c r="R168" s="255" t="str">
        <f t="shared" si="2"/>
        <v/>
      </c>
      <c r="S168" s="36"/>
      <c r="T168" s="54"/>
      <c r="U168" s="334" t="s">
        <v>592</v>
      </c>
      <c r="V168" s="36"/>
      <c r="W168" s="36"/>
      <c r="X168" s="272"/>
    </row>
    <row r="169" spans="1:24" ht="24.95" customHeight="1" thickBot="1" x14ac:dyDescent="0.25">
      <c r="A169" s="271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163"/>
      <c r="O169" s="36"/>
      <c r="P169" s="36"/>
      <c r="Q169" s="264"/>
      <c r="R169" s="54"/>
      <c r="S169" s="36"/>
      <c r="T169" s="262">
        <f>SUM(R157:R168)</f>
        <v>0</v>
      </c>
      <c r="U169" s="263" t="str">
        <f>IF(R156=1,IF(T169/8&gt;100%,100%,T169/8),"")</f>
        <v/>
      </c>
      <c r="V169" s="36"/>
      <c r="W169" s="36"/>
      <c r="X169" s="272"/>
    </row>
    <row r="170" spans="1:24" ht="12.75" customHeight="1" x14ac:dyDescent="0.2">
      <c r="A170" s="271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264"/>
      <c r="R170" s="54"/>
      <c r="S170" s="36"/>
      <c r="T170" s="36"/>
      <c r="U170" s="36"/>
      <c r="V170" s="36"/>
      <c r="W170" s="36"/>
      <c r="X170" s="272"/>
    </row>
    <row r="171" spans="1:24" ht="14.1" customHeight="1" x14ac:dyDescent="0.2">
      <c r="A171" s="271"/>
      <c r="B171" s="760" t="s">
        <v>24</v>
      </c>
      <c r="C171" s="770" t="s">
        <v>522</v>
      </c>
      <c r="D171" s="771"/>
      <c r="E171" s="771"/>
      <c r="F171" s="771"/>
      <c r="G171" s="771"/>
      <c r="H171" s="771"/>
      <c r="I171" s="771"/>
      <c r="J171" s="771"/>
      <c r="K171" s="771"/>
      <c r="L171" s="771"/>
      <c r="M171" s="771"/>
      <c r="N171" s="772"/>
      <c r="O171" s="36"/>
      <c r="P171" s="36"/>
      <c r="Q171" s="264"/>
      <c r="R171" s="54"/>
      <c r="S171" s="36"/>
      <c r="T171" s="36"/>
      <c r="U171" s="36"/>
      <c r="V171" s="36"/>
      <c r="W171" s="36"/>
      <c r="X171" s="272"/>
    </row>
    <row r="172" spans="1:24" ht="14.1" customHeight="1" x14ac:dyDescent="0.2">
      <c r="A172" s="271"/>
      <c r="B172" s="760"/>
      <c r="C172" s="761"/>
      <c r="D172" s="762"/>
      <c r="E172" s="762"/>
      <c r="F172" s="762"/>
      <c r="G172" s="762"/>
      <c r="H172" s="762"/>
      <c r="I172" s="762"/>
      <c r="J172" s="762"/>
      <c r="K172" s="762"/>
      <c r="L172" s="762"/>
      <c r="M172" s="762"/>
      <c r="N172" s="773"/>
      <c r="O172" s="36"/>
      <c r="P172" s="36"/>
      <c r="Q172" s="264"/>
      <c r="R172" s="54"/>
      <c r="S172" s="36"/>
      <c r="T172" s="36"/>
      <c r="U172" s="36"/>
      <c r="V172" s="36"/>
      <c r="W172" s="36"/>
      <c r="X172" s="272"/>
    </row>
    <row r="173" spans="1:24" ht="14.1" customHeight="1" x14ac:dyDescent="0.2">
      <c r="A173" s="271"/>
      <c r="B173" s="760"/>
      <c r="C173" s="774"/>
      <c r="D173" s="775"/>
      <c r="E173" s="775"/>
      <c r="F173" s="775"/>
      <c r="G173" s="775"/>
      <c r="H173" s="775"/>
      <c r="I173" s="775"/>
      <c r="J173" s="775"/>
      <c r="K173" s="775"/>
      <c r="L173" s="775"/>
      <c r="M173" s="775"/>
      <c r="N173" s="776"/>
      <c r="O173" s="36"/>
      <c r="P173" s="36"/>
      <c r="Q173" s="264"/>
      <c r="R173" s="54"/>
      <c r="S173" s="36"/>
      <c r="T173" s="36"/>
      <c r="U173" s="36"/>
      <c r="V173" s="36"/>
      <c r="W173" s="36"/>
      <c r="X173" s="272"/>
    </row>
    <row r="174" spans="1:24" ht="24" customHeight="1" x14ac:dyDescent="0.2">
      <c r="A174" s="271"/>
      <c r="B174" s="318"/>
      <c r="C174" s="808" t="str">
        <f>IF(R174=0,"Please, answer the following questions","")</f>
        <v>Please, answer the following questions</v>
      </c>
      <c r="D174" s="808"/>
      <c r="E174" s="808"/>
      <c r="F174" s="808"/>
      <c r="G174" s="808"/>
      <c r="H174" s="808"/>
      <c r="I174" s="808"/>
      <c r="J174" s="808"/>
      <c r="K174" s="319"/>
      <c r="L174" s="319"/>
      <c r="M174" s="319"/>
      <c r="N174" s="319"/>
      <c r="O174" s="36"/>
      <c r="P174" s="36"/>
      <c r="Q174" s="288" t="s">
        <v>304</v>
      </c>
      <c r="R174" s="40">
        <f>IF(COUNT(R178:R181,R184:R187,R175)&gt;0,1,0)</f>
        <v>0</v>
      </c>
      <c r="S174" s="36"/>
      <c r="T174" s="36"/>
      <c r="U174" s="36"/>
      <c r="V174" s="36"/>
      <c r="W174" s="36"/>
      <c r="X174" s="272"/>
    </row>
    <row r="175" spans="1:24" ht="21" customHeight="1" x14ac:dyDescent="0.2">
      <c r="A175" s="271"/>
      <c r="B175" s="318"/>
      <c r="C175" s="753" t="s">
        <v>454</v>
      </c>
      <c r="D175" s="754"/>
      <c r="E175" s="754"/>
      <c r="F175" s="754"/>
      <c r="G175" s="754"/>
      <c r="H175" s="754"/>
      <c r="I175" s="73"/>
      <c r="J175" s="537"/>
      <c r="K175" s="319"/>
      <c r="L175" s="319"/>
      <c r="M175" s="319"/>
      <c r="N175" s="319"/>
      <c r="O175" s="36"/>
      <c r="P175" s="36"/>
      <c r="Q175" s="264">
        <v>0</v>
      </c>
      <c r="R175" s="255" t="str">
        <f>IF(J175="","",Q175)</f>
        <v/>
      </c>
      <c r="S175" s="36"/>
      <c r="T175" s="255" t="str">
        <f>R175</f>
        <v/>
      </c>
      <c r="U175" s="36"/>
      <c r="V175" s="36"/>
      <c r="W175" s="36"/>
      <c r="X175" s="272"/>
    </row>
    <row r="176" spans="1:24" ht="14.1" customHeight="1" x14ac:dyDescent="0.2">
      <c r="A176" s="271"/>
      <c r="B176" s="318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6"/>
      <c r="P176" s="36"/>
      <c r="Q176" s="264"/>
      <c r="R176" s="40"/>
      <c r="S176" s="36"/>
      <c r="T176" s="36"/>
      <c r="U176" s="36"/>
      <c r="V176" s="36"/>
      <c r="W176" s="36"/>
      <c r="X176" s="272"/>
    </row>
    <row r="177" spans="1:24" ht="24.75" customHeight="1" x14ac:dyDescent="0.2">
      <c r="A177" s="271"/>
      <c r="B177" s="36"/>
      <c r="C177" s="756" t="s">
        <v>147</v>
      </c>
      <c r="D177" s="756"/>
      <c r="E177" s="756"/>
      <c r="F177" s="756"/>
      <c r="G177" s="756"/>
      <c r="H177" s="756"/>
      <c r="I177" s="756"/>
      <c r="J177" s="756"/>
      <c r="K177" s="36"/>
      <c r="L177" s="36"/>
      <c r="M177" s="36"/>
      <c r="N177" s="36"/>
      <c r="O177" s="36"/>
      <c r="P177" s="36"/>
      <c r="Q177" s="264"/>
      <c r="R177" s="40"/>
      <c r="S177" s="36"/>
      <c r="T177" s="36"/>
      <c r="U177" s="36"/>
      <c r="V177" s="36"/>
      <c r="W177" s="36"/>
      <c r="X177" s="272"/>
    </row>
    <row r="178" spans="1:24" ht="21" customHeight="1" x14ac:dyDescent="0.2">
      <c r="A178" s="271"/>
      <c r="B178" s="36"/>
      <c r="C178" s="769" t="s">
        <v>148</v>
      </c>
      <c r="D178" s="769"/>
      <c r="E178" s="769"/>
      <c r="F178" s="769"/>
      <c r="G178" s="769"/>
      <c r="H178" s="769"/>
      <c r="I178" s="73"/>
      <c r="J178" s="537"/>
      <c r="K178" s="36"/>
      <c r="L178" s="36"/>
      <c r="M178" s="36"/>
      <c r="N178" s="36"/>
      <c r="O178" s="36"/>
      <c r="P178" s="36"/>
      <c r="Q178" s="264">
        <v>0</v>
      </c>
      <c r="R178" s="255" t="str">
        <f>IF(J178="","",Q178)</f>
        <v/>
      </c>
      <c r="S178" s="36"/>
      <c r="T178" s="36"/>
      <c r="U178" s="36"/>
      <c r="V178" s="36"/>
      <c r="W178" s="36"/>
      <c r="X178" s="272"/>
    </row>
    <row r="179" spans="1:24" ht="21" customHeight="1" x14ac:dyDescent="0.2">
      <c r="A179" s="271"/>
      <c r="B179" s="36"/>
      <c r="C179" s="769" t="s">
        <v>149</v>
      </c>
      <c r="D179" s="769"/>
      <c r="E179" s="769"/>
      <c r="F179" s="769"/>
      <c r="G179" s="769"/>
      <c r="H179" s="769"/>
      <c r="I179" s="73"/>
      <c r="J179" s="537"/>
      <c r="K179" s="36"/>
      <c r="L179" s="36"/>
      <c r="M179" s="36"/>
      <c r="N179" s="36"/>
      <c r="O179" s="36"/>
      <c r="P179" s="36"/>
      <c r="Q179" s="264">
        <v>2</v>
      </c>
      <c r="R179" s="255" t="str">
        <f>IF(J179="","",Q179)</f>
        <v/>
      </c>
      <c r="S179" s="36"/>
      <c r="T179" s="36"/>
      <c r="U179" s="36"/>
      <c r="V179" s="36"/>
      <c r="W179" s="36"/>
      <c r="X179" s="272"/>
    </row>
    <row r="180" spans="1:24" ht="21" customHeight="1" x14ac:dyDescent="0.2">
      <c r="A180" s="271"/>
      <c r="B180" s="36"/>
      <c r="C180" s="769" t="s">
        <v>150</v>
      </c>
      <c r="D180" s="769"/>
      <c r="E180" s="769"/>
      <c r="F180" s="769"/>
      <c r="G180" s="769"/>
      <c r="H180" s="769"/>
      <c r="I180" s="73"/>
      <c r="J180" s="537"/>
      <c r="K180" s="36"/>
      <c r="L180" s="36"/>
      <c r="M180" s="36"/>
      <c r="N180" s="36"/>
      <c r="O180" s="36"/>
      <c r="P180" s="36"/>
      <c r="Q180" s="264">
        <v>4</v>
      </c>
      <c r="R180" s="255" t="str">
        <f>IF(J180="","",Q180)</f>
        <v/>
      </c>
      <c r="S180" s="36"/>
      <c r="T180" s="36"/>
      <c r="U180" s="36"/>
      <c r="V180" s="36"/>
      <c r="W180" s="36"/>
      <c r="X180" s="272"/>
    </row>
    <row r="181" spans="1:24" ht="21" customHeight="1" x14ac:dyDescent="0.2">
      <c r="A181" s="271"/>
      <c r="B181" s="36"/>
      <c r="C181" s="769" t="s">
        <v>151</v>
      </c>
      <c r="D181" s="769"/>
      <c r="E181" s="769"/>
      <c r="F181" s="769"/>
      <c r="G181" s="769"/>
      <c r="H181" s="769"/>
      <c r="I181" s="73"/>
      <c r="J181" s="537"/>
      <c r="K181" s="36"/>
      <c r="L181" s="36"/>
      <c r="M181" s="36"/>
      <c r="N181" s="36"/>
      <c r="O181" s="36"/>
      <c r="P181" s="36"/>
      <c r="Q181" s="264">
        <v>8</v>
      </c>
      <c r="R181" s="255" t="str">
        <f>IF(J181="","",Q181)</f>
        <v/>
      </c>
      <c r="S181" s="36"/>
      <c r="T181" s="255">
        <f>SUM(R178:R181)</f>
        <v>0</v>
      </c>
      <c r="U181" s="36"/>
      <c r="V181" s="36"/>
      <c r="W181" s="36"/>
      <c r="X181" s="272"/>
    </row>
    <row r="182" spans="1:24" ht="15.75" customHeight="1" x14ac:dyDescent="0.2">
      <c r="A182" s="271"/>
      <c r="B182" s="36"/>
      <c r="C182" s="326"/>
      <c r="D182" s="131"/>
      <c r="E182" s="131"/>
      <c r="F182" s="131"/>
      <c r="G182" s="131"/>
      <c r="H182" s="327"/>
      <c r="I182" s="36"/>
      <c r="J182" s="325"/>
      <c r="K182" s="36"/>
      <c r="L182" s="36"/>
      <c r="M182" s="36"/>
      <c r="N182" s="36"/>
      <c r="O182" s="36"/>
      <c r="P182" s="36"/>
      <c r="Q182" s="264"/>
      <c r="R182" s="40"/>
      <c r="S182" s="36"/>
      <c r="T182" s="36"/>
      <c r="U182" s="36"/>
      <c r="V182" s="36"/>
      <c r="W182" s="36"/>
      <c r="X182" s="272"/>
    </row>
    <row r="183" spans="1:24" ht="25.5" customHeight="1" x14ac:dyDescent="0.2">
      <c r="A183" s="271"/>
      <c r="B183" s="36"/>
      <c r="C183" s="756" t="s">
        <v>405</v>
      </c>
      <c r="D183" s="756"/>
      <c r="E183" s="756"/>
      <c r="F183" s="756"/>
      <c r="G183" s="756"/>
      <c r="H183" s="756"/>
      <c r="I183" s="756"/>
      <c r="J183" s="756"/>
      <c r="K183" s="36"/>
      <c r="L183" s="36"/>
      <c r="M183" s="36"/>
      <c r="N183" s="36"/>
      <c r="O183" s="36"/>
      <c r="P183" s="36"/>
      <c r="Q183" s="264"/>
      <c r="R183" s="328"/>
      <c r="S183" s="36"/>
      <c r="T183" s="36"/>
      <c r="U183" s="36"/>
      <c r="V183" s="36"/>
      <c r="W183" s="36"/>
      <c r="X183" s="272"/>
    </row>
    <row r="184" spans="1:24" ht="21" customHeight="1" x14ac:dyDescent="0.2">
      <c r="A184" s="271"/>
      <c r="B184" s="36"/>
      <c r="C184" s="769" t="s">
        <v>152</v>
      </c>
      <c r="D184" s="769"/>
      <c r="E184" s="769"/>
      <c r="F184" s="769"/>
      <c r="G184" s="769"/>
      <c r="H184" s="769"/>
      <c r="I184" s="73"/>
      <c r="J184" s="537"/>
      <c r="K184" s="36"/>
      <c r="L184" s="36"/>
      <c r="M184" s="36"/>
      <c r="N184" s="36"/>
      <c r="O184" s="36"/>
      <c r="P184" s="36"/>
      <c r="Q184" s="264">
        <v>0</v>
      </c>
      <c r="R184" s="255" t="str">
        <f>IF(J184="","",Q184)</f>
        <v/>
      </c>
      <c r="S184" s="36"/>
      <c r="T184" s="36"/>
      <c r="U184" s="36"/>
      <c r="V184" s="36"/>
      <c r="W184" s="36"/>
      <c r="X184" s="272"/>
    </row>
    <row r="185" spans="1:24" ht="21" customHeight="1" x14ac:dyDescent="0.2">
      <c r="A185" s="271"/>
      <c r="B185" s="36"/>
      <c r="C185" s="769" t="s">
        <v>153</v>
      </c>
      <c r="D185" s="769"/>
      <c r="E185" s="769"/>
      <c r="F185" s="769"/>
      <c r="G185" s="769"/>
      <c r="H185" s="769"/>
      <c r="I185" s="73"/>
      <c r="J185" s="537"/>
      <c r="K185" s="36"/>
      <c r="L185" s="36"/>
      <c r="M185" s="36"/>
      <c r="N185" s="36"/>
      <c r="O185" s="36"/>
      <c r="P185" s="36"/>
      <c r="Q185" s="264">
        <v>2</v>
      </c>
      <c r="R185" s="255" t="str">
        <f>IF(J185="","",Q185)</f>
        <v/>
      </c>
      <c r="S185" s="36"/>
      <c r="T185" s="36"/>
      <c r="U185" s="36"/>
      <c r="V185" s="36"/>
      <c r="W185" s="36"/>
      <c r="X185" s="272"/>
    </row>
    <row r="186" spans="1:24" ht="21" customHeight="1" x14ac:dyDescent="0.2">
      <c r="A186" s="271"/>
      <c r="B186" s="36"/>
      <c r="C186" s="769" t="s">
        <v>154</v>
      </c>
      <c r="D186" s="769"/>
      <c r="E186" s="769"/>
      <c r="F186" s="769"/>
      <c r="G186" s="769"/>
      <c r="H186" s="769"/>
      <c r="I186" s="73"/>
      <c r="J186" s="537"/>
      <c r="K186" s="36"/>
      <c r="L186" s="36"/>
      <c r="M186" s="36"/>
      <c r="N186" s="36"/>
      <c r="O186" s="36"/>
      <c r="P186" s="36"/>
      <c r="Q186" s="264">
        <v>4</v>
      </c>
      <c r="R186" s="255" t="str">
        <f>IF(J186="","",Q186)</f>
        <v/>
      </c>
      <c r="S186" s="36"/>
      <c r="T186" s="36"/>
      <c r="U186" s="36"/>
      <c r="V186" s="36"/>
      <c r="W186" s="36"/>
      <c r="X186" s="272"/>
    </row>
    <row r="187" spans="1:24" ht="21" customHeight="1" thickBot="1" x14ac:dyDescent="0.25">
      <c r="A187" s="271"/>
      <c r="B187" s="36"/>
      <c r="C187" s="769" t="s">
        <v>155</v>
      </c>
      <c r="D187" s="769"/>
      <c r="E187" s="769"/>
      <c r="F187" s="769"/>
      <c r="G187" s="769"/>
      <c r="H187" s="769"/>
      <c r="I187" s="73"/>
      <c r="J187" s="537"/>
      <c r="K187" s="36"/>
      <c r="L187" s="36"/>
      <c r="M187" s="36"/>
      <c r="N187" s="36"/>
      <c r="O187" s="36"/>
      <c r="P187" s="36"/>
      <c r="Q187" s="264">
        <v>8</v>
      </c>
      <c r="R187" s="255" t="str">
        <f>IF(J187="","",Q187)</f>
        <v/>
      </c>
      <c r="S187" s="36"/>
      <c r="T187" s="329">
        <f>SUM(R184:R187)</f>
        <v>0</v>
      </c>
      <c r="U187" s="36" t="s">
        <v>26</v>
      </c>
      <c r="V187" s="36"/>
      <c r="W187" s="36"/>
      <c r="X187" s="272"/>
    </row>
    <row r="188" spans="1:24" ht="15.75" hidden="1" customHeight="1" thickBot="1" x14ac:dyDescent="0.25">
      <c r="A188" s="271"/>
      <c r="B188" s="36"/>
      <c r="C188" s="77"/>
      <c r="D188" s="25"/>
      <c r="E188" s="25"/>
      <c r="F188" s="25"/>
      <c r="G188" s="63" t="s">
        <v>7</v>
      </c>
      <c r="H188" s="64" t="s">
        <v>8</v>
      </c>
      <c r="I188" s="13"/>
      <c r="J188" s="78">
        <f>T187</f>
        <v>0</v>
      </c>
      <c r="K188" s="36"/>
      <c r="L188" s="36"/>
      <c r="M188" s="36"/>
      <c r="N188" s="36"/>
      <c r="O188" s="36"/>
      <c r="P188" s="36"/>
      <c r="Q188" s="264"/>
      <c r="R188" s="36"/>
      <c r="S188" s="36"/>
      <c r="T188" s="36"/>
      <c r="U188" s="36"/>
      <c r="V188" s="36"/>
      <c r="W188" s="36"/>
      <c r="X188" s="272"/>
    </row>
    <row r="189" spans="1:24" ht="15.75" hidden="1" customHeight="1" x14ac:dyDescent="0.2">
      <c r="A189" s="271"/>
      <c r="B189" s="36"/>
      <c r="C189" s="77"/>
      <c r="D189" s="25"/>
      <c r="E189" s="25"/>
      <c r="F189" s="25"/>
      <c r="G189" s="79" t="s">
        <v>7</v>
      </c>
      <c r="H189" s="80" t="s">
        <v>9</v>
      </c>
      <c r="I189" s="13"/>
      <c r="J189" s="81">
        <f>T190</f>
        <v>0</v>
      </c>
      <c r="K189" s="36"/>
      <c r="L189" s="36"/>
      <c r="M189" s="36"/>
      <c r="N189" s="36"/>
      <c r="O189" s="36"/>
      <c r="P189" s="36"/>
      <c r="Q189" s="264"/>
      <c r="R189" s="36"/>
      <c r="S189" s="36"/>
      <c r="T189" s="36"/>
      <c r="U189" s="36"/>
      <c r="V189" s="36"/>
      <c r="W189" s="36"/>
      <c r="X189" s="272"/>
    </row>
    <row r="190" spans="1:24" ht="24.95" customHeight="1" thickBot="1" x14ac:dyDescent="0.25">
      <c r="A190" s="271"/>
      <c r="B190" s="36"/>
      <c r="C190" s="804" t="s">
        <v>227</v>
      </c>
      <c r="D190" s="805"/>
      <c r="E190" s="805"/>
      <c r="F190" s="805"/>
      <c r="G190" s="805"/>
      <c r="H190" s="806"/>
      <c r="I190" s="13"/>
      <c r="J190" s="36"/>
      <c r="K190" s="36"/>
      <c r="L190" s="36"/>
      <c r="M190" s="36"/>
      <c r="N190" s="163"/>
      <c r="O190" s="36"/>
      <c r="P190" s="36"/>
      <c r="Q190" s="264"/>
      <c r="R190" s="36"/>
      <c r="S190" s="36"/>
      <c r="T190" s="262">
        <f>SUM(T175:T187)</f>
        <v>0</v>
      </c>
      <c r="U190" s="263" t="str">
        <f>IF(R174=1,IF(T190/8&gt;100%,100%,T190/8),"")</f>
        <v/>
      </c>
      <c r="V190" s="36"/>
      <c r="W190" s="36"/>
      <c r="X190" s="272"/>
    </row>
    <row r="191" spans="1:24" ht="12.75" customHeight="1" x14ac:dyDescent="0.2">
      <c r="A191" s="27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264"/>
      <c r="R191" s="54"/>
      <c r="S191" s="36"/>
      <c r="T191" s="36"/>
      <c r="U191" s="36"/>
      <c r="V191" s="36"/>
      <c r="W191" s="36"/>
      <c r="X191" s="272"/>
    </row>
    <row r="192" spans="1:24" ht="14.1" customHeight="1" x14ac:dyDescent="0.2">
      <c r="A192" s="271"/>
      <c r="B192" s="760" t="s">
        <v>29</v>
      </c>
      <c r="C192" s="770" t="s">
        <v>521</v>
      </c>
      <c r="D192" s="771"/>
      <c r="E192" s="771"/>
      <c r="F192" s="771"/>
      <c r="G192" s="771"/>
      <c r="H192" s="771"/>
      <c r="I192" s="771"/>
      <c r="J192" s="771"/>
      <c r="K192" s="771"/>
      <c r="L192" s="771"/>
      <c r="M192" s="771"/>
      <c r="N192" s="772"/>
      <c r="O192" s="36"/>
      <c r="P192" s="36"/>
      <c r="Q192" s="264"/>
      <c r="R192" s="54"/>
      <c r="S192" s="36"/>
      <c r="T192" s="36"/>
      <c r="U192" s="36"/>
      <c r="V192" s="36"/>
      <c r="W192" s="36"/>
      <c r="X192" s="272"/>
    </row>
    <row r="193" spans="1:24" ht="14.1" customHeight="1" x14ac:dyDescent="0.2">
      <c r="A193" s="271"/>
      <c r="B193" s="760"/>
      <c r="C193" s="761"/>
      <c r="D193" s="762"/>
      <c r="E193" s="762"/>
      <c r="F193" s="762"/>
      <c r="G193" s="762"/>
      <c r="H193" s="762"/>
      <c r="I193" s="762"/>
      <c r="J193" s="762"/>
      <c r="K193" s="762"/>
      <c r="L193" s="762"/>
      <c r="M193" s="762"/>
      <c r="N193" s="773"/>
      <c r="O193" s="36"/>
      <c r="P193" s="36"/>
      <c r="Q193" s="264"/>
      <c r="R193" s="54"/>
      <c r="S193" s="36"/>
      <c r="T193" s="36"/>
      <c r="U193" s="36"/>
      <c r="V193" s="36"/>
      <c r="W193" s="36"/>
      <c r="X193" s="272"/>
    </row>
    <row r="194" spans="1:24" ht="14.1" customHeight="1" x14ac:dyDescent="0.2">
      <c r="A194" s="271"/>
      <c r="B194" s="760"/>
      <c r="C194" s="774"/>
      <c r="D194" s="775"/>
      <c r="E194" s="775"/>
      <c r="F194" s="775"/>
      <c r="G194" s="775"/>
      <c r="H194" s="775"/>
      <c r="I194" s="775"/>
      <c r="J194" s="775"/>
      <c r="K194" s="775"/>
      <c r="L194" s="775"/>
      <c r="M194" s="775"/>
      <c r="N194" s="776"/>
      <c r="O194" s="36"/>
      <c r="P194" s="36"/>
      <c r="Q194" s="264"/>
      <c r="R194" s="54"/>
      <c r="S194" s="36"/>
      <c r="T194" s="36"/>
      <c r="U194" s="36"/>
      <c r="V194" s="36"/>
      <c r="W194" s="36"/>
      <c r="X194" s="272"/>
    </row>
    <row r="195" spans="1:24" ht="24" customHeight="1" x14ac:dyDescent="0.2">
      <c r="A195" s="271"/>
      <c r="B195" s="36"/>
      <c r="C195" s="808" t="str">
        <f>IF(R195=0,"Please, answer the following questions","")</f>
        <v>Please, answer the following questions</v>
      </c>
      <c r="D195" s="808"/>
      <c r="E195" s="808"/>
      <c r="F195" s="808"/>
      <c r="G195" s="808"/>
      <c r="H195" s="808"/>
      <c r="I195" s="808"/>
      <c r="J195" s="808"/>
      <c r="K195" s="36"/>
      <c r="L195" s="36"/>
      <c r="M195" s="36"/>
      <c r="N195" s="36"/>
      <c r="O195" s="36"/>
      <c r="P195" s="36"/>
      <c r="Q195" s="287" t="s">
        <v>304</v>
      </c>
      <c r="R195" s="40">
        <f>IF(COUNT(R196:R205)&gt;0,1,0)</f>
        <v>0</v>
      </c>
      <c r="S195" s="36"/>
      <c r="T195" s="36"/>
      <c r="U195" s="36"/>
      <c r="V195" s="36"/>
      <c r="W195" s="36"/>
      <c r="X195" s="272"/>
    </row>
    <row r="196" spans="1:24" ht="21" customHeight="1" x14ac:dyDescent="0.2">
      <c r="A196" s="271"/>
      <c r="B196" s="36"/>
      <c r="C196" s="754" t="s">
        <v>202</v>
      </c>
      <c r="D196" s="754"/>
      <c r="E196" s="754"/>
      <c r="F196" s="754"/>
      <c r="G196" s="754"/>
      <c r="H196" s="754"/>
      <c r="I196" s="73"/>
      <c r="J196" s="537"/>
      <c r="K196" s="36"/>
      <c r="L196" s="36"/>
      <c r="M196" s="36"/>
      <c r="N196" s="36"/>
      <c r="O196" s="36"/>
      <c r="P196" s="36"/>
      <c r="Q196" s="264">
        <v>0</v>
      </c>
      <c r="R196" s="255" t="str">
        <f>IF(J196="","",Q196)</f>
        <v/>
      </c>
      <c r="S196" s="36"/>
      <c r="T196" s="36"/>
      <c r="U196" s="36"/>
      <c r="V196" s="36"/>
      <c r="W196" s="36"/>
      <c r="X196" s="272"/>
    </row>
    <row r="197" spans="1:24" ht="21" customHeight="1" x14ac:dyDescent="0.2">
      <c r="A197" s="271"/>
      <c r="B197" s="36"/>
      <c r="C197" s="331"/>
      <c r="D197" s="331"/>
      <c r="E197" s="331"/>
      <c r="F197" s="331"/>
      <c r="G197" s="331"/>
      <c r="H197" s="331"/>
      <c r="I197" s="330"/>
      <c r="J197" s="529"/>
      <c r="K197" s="36"/>
      <c r="L197" s="36"/>
      <c r="M197" s="36"/>
      <c r="N197" s="36"/>
      <c r="O197" s="36"/>
      <c r="P197" s="36"/>
      <c r="Q197" s="264"/>
      <c r="R197" s="332"/>
      <c r="S197" s="36"/>
      <c r="T197" s="36"/>
      <c r="U197" s="36"/>
      <c r="V197" s="36"/>
      <c r="W197" s="36"/>
      <c r="X197" s="272"/>
    </row>
    <row r="198" spans="1:24" ht="21" customHeight="1" x14ac:dyDescent="0.2">
      <c r="A198" s="271"/>
      <c r="B198" s="36"/>
      <c r="C198" s="814" t="s">
        <v>220</v>
      </c>
      <c r="D198" s="769"/>
      <c r="E198" s="769"/>
      <c r="F198" s="769"/>
      <c r="G198" s="769"/>
      <c r="H198" s="769"/>
      <c r="I198" s="73"/>
      <c r="J198" s="537"/>
      <c r="K198" s="36"/>
      <c r="L198" s="36"/>
      <c r="M198" s="36"/>
      <c r="N198" s="36"/>
      <c r="O198" s="36"/>
      <c r="P198" s="36"/>
      <c r="Q198" s="264">
        <v>1</v>
      </c>
      <c r="R198" s="255" t="str">
        <f t="shared" ref="R198:R205" si="3">IF(J198="","",Q198)</f>
        <v/>
      </c>
      <c r="S198" s="36"/>
      <c r="T198" s="36"/>
      <c r="U198" s="36"/>
      <c r="V198" s="36"/>
      <c r="W198" s="36"/>
      <c r="X198" s="272"/>
    </row>
    <row r="199" spans="1:24" ht="21" customHeight="1" x14ac:dyDescent="0.2">
      <c r="A199" s="271"/>
      <c r="B199" s="36"/>
      <c r="C199" s="809" t="s">
        <v>222</v>
      </c>
      <c r="D199" s="810"/>
      <c r="E199" s="810"/>
      <c r="F199" s="810"/>
      <c r="G199" s="810"/>
      <c r="H199" s="811"/>
      <c r="I199" s="73"/>
      <c r="J199" s="537"/>
      <c r="K199" s="36"/>
      <c r="L199" s="36"/>
      <c r="M199" s="36"/>
      <c r="N199" s="36"/>
      <c r="O199" s="36"/>
      <c r="P199" s="36"/>
      <c r="Q199" s="264">
        <v>1</v>
      </c>
      <c r="R199" s="255" t="str">
        <f t="shared" si="3"/>
        <v/>
      </c>
      <c r="S199" s="36"/>
      <c r="T199" s="36"/>
      <c r="U199" s="36"/>
      <c r="V199" s="36"/>
      <c r="W199" s="36"/>
      <c r="X199" s="272"/>
    </row>
    <row r="200" spans="1:24" ht="21" customHeight="1" x14ac:dyDescent="0.2">
      <c r="A200" s="271"/>
      <c r="B200" s="36"/>
      <c r="C200" s="769" t="s">
        <v>156</v>
      </c>
      <c r="D200" s="769"/>
      <c r="E200" s="769"/>
      <c r="F200" s="769"/>
      <c r="G200" s="769"/>
      <c r="H200" s="769"/>
      <c r="I200" s="73"/>
      <c r="J200" s="537"/>
      <c r="K200" s="36"/>
      <c r="L200" s="36"/>
      <c r="M200" s="36"/>
      <c r="N200" s="36"/>
      <c r="O200" s="36"/>
      <c r="P200" s="36"/>
      <c r="Q200" s="264">
        <v>1</v>
      </c>
      <c r="R200" s="255" t="str">
        <f t="shared" si="3"/>
        <v/>
      </c>
      <c r="S200" s="36"/>
      <c r="T200" s="36"/>
      <c r="U200" s="36"/>
      <c r="V200" s="36"/>
      <c r="W200" s="36"/>
      <c r="X200" s="272"/>
    </row>
    <row r="201" spans="1:24" ht="21" customHeight="1" x14ac:dyDescent="0.2">
      <c r="A201" s="271"/>
      <c r="B201" s="36"/>
      <c r="C201" s="769" t="s">
        <v>143</v>
      </c>
      <c r="D201" s="769"/>
      <c r="E201" s="769"/>
      <c r="F201" s="769"/>
      <c r="G201" s="769"/>
      <c r="H201" s="769"/>
      <c r="I201" s="73"/>
      <c r="J201" s="537"/>
      <c r="K201" s="36"/>
      <c r="L201" s="36"/>
      <c r="M201" s="36"/>
      <c r="N201" s="36"/>
      <c r="O201" s="36"/>
      <c r="P201" s="36"/>
      <c r="Q201" s="264">
        <v>1</v>
      </c>
      <c r="R201" s="255" t="str">
        <f t="shared" si="3"/>
        <v/>
      </c>
      <c r="S201" s="36"/>
      <c r="T201" s="36"/>
      <c r="U201" s="36"/>
      <c r="V201" s="36"/>
      <c r="W201" s="36"/>
      <c r="X201" s="272"/>
    </row>
    <row r="202" spans="1:24" ht="21" customHeight="1" x14ac:dyDescent="0.2">
      <c r="A202" s="271"/>
      <c r="B202" s="36"/>
      <c r="C202" s="812" t="s">
        <v>233</v>
      </c>
      <c r="D202" s="813"/>
      <c r="E202" s="813"/>
      <c r="F202" s="813"/>
      <c r="G202" s="813"/>
      <c r="H202" s="813"/>
      <c r="I202" s="73"/>
      <c r="J202" s="537"/>
      <c r="K202" s="36"/>
      <c r="L202" s="36"/>
      <c r="M202" s="36"/>
      <c r="N202" s="36"/>
      <c r="O202" s="36"/>
      <c r="P202" s="36"/>
      <c r="Q202" s="264">
        <v>2</v>
      </c>
      <c r="R202" s="255" t="str">
        <f t="shared" si="3"/>
        <v/>
      </c>
      <c r="S202" s="36"/>
      <c r="T202" s="36"/>
      <c r="U202" s="36"/>
      <c r="V202" s="36"/>
      <c r="W202" s="36"/>
      <c r="X202" s="272"/>
    </row>
    <row r="203" spans="1:24" ht="21" customHeight="1" x14ac:dyDescent="0.2">
      <c r="A203" s="271"/>
      <c r="B203" s="36"/>
      <c r="C203" s="814" t="s">
        <v>234</v>
      </c>
      <c r="D203" s="769"/>
      <c r="E203" s="769"/>
      <c r="F203" s="769"/>
      <c r="G203" s="769"/>
      <c r="H203" s="769"/>
      <c r="I203" s="73"/>
      <c r="J203" s="537"/>
      <c r="K203" s="36"/>
      <c r="L203" s="36"/>
      <c r="M203" s="36"/>
      <c r="N203" s="36"/>
      <c r="O203" s="36"/>
      <c r="P203" s="36"/>
      <c r="Q203" s="264">
        <v>2</v>
      </c>
      <c r="R203" s="255" t="str">
        <f t="shared" si="3"/>
        <v/>
      </c>
      <c r="S203" s="36"/>
      <c r="T203" s="36"/>
      <c r="U203" s="36"/>
      <c r="V203" s="36"/>
      <c r="W203" s="36"/>
      <c r="X203" s="272"/>
    </row>
    <row r="204" spans="1:24" ht="21" customHeight="1" thickBot="1" x14ac:dyDescent="0.25">
      <c r="A204" s="271"/>
      <c r="B204" s="36"/>
      <c r="C204" s="769" t="s">
        <v>157</v>
      </c>
      <c r="D204" s="769"/>
      <c r="E204" s="769"/>
      <c r="F204" s="769"/>
      <c r="G204" s="769"/>
      <c r="H204" s="769"/>
      <c r="I204" s="73"/>
      <c r="J204" s="537"/>
      <c r="K204" s="36"/>
      <c r="L204" s="36"/>
      <c r="M204" s="36"/>
      <c r="N204" s="36"/>
      <c r="O204" s="36"/>
      <c r="P204" s="36"/>
      <c r="Q204" s="264">
        <v>2</v>
      </c>
      <c r="R204" s="255" t="str">
        <f t="shared" si="3"/>
        <v/>
      </c>
      <c r="S204" s="36"/>
      <c r="T204" s="36"/>
      <c r="U204" s="460" t="s">
        <v>26</v>
      </c>
      <c r="V204" s="36"/>
      <c r="W204" s="36"/>
      <c r="X204" s="272"/>
    </row>
    <row r="205" spans="1:24" ht="21" customHeight="1" thickBot="1" x14ac:dyDescent="0.25">
      <c r="A205" s="271"/>
      <c r="B205" s="36"/>
      <c r="C205" s="769" t="s">
        <v>158</v>
      </c>
      <c r="D205" s="769"/>
      <c r="E205" s="769"/>
      <c r="F205" s="769"/>
      <c r="G205" s="769"/>
      <c r="H205" s="769"/>
      <c r="I205" s="73"/>
      <c r="J205" s="537"/>
      <c r="K205" s="36"/>
      <c r="L205" s="36"/>
      <c r="M205" s="36"/>
      <c r="N205" s="36"/>
      <c r="O205" s="36"/>
      <c r="P205" s="36"/>
      <c r="Q205" s="264">
        <v>8</v>
      </c>
      <c r="R205" s="255" t="str">
        <f t="shared" si="3"/>
        <v/>
      </c>
      <c r="S205" s="36"/>
      <c r="T205" s="262">
        <f>SUM(R196:R205)</f>
        <v>0</v>
      </c>
      <c r="U205" s="263" t="str">
        <f>IF(R195=1,IF(T205/8&gt;100%,100%,T205/8),"")</f>
        <v/>
      </c>
      <c r="V205" s="36"/>
      <c r="W205" s="36"/>
      <c r="X205" s="272"/>
    </row>
    <row r="206" spans="1:24" ht="22.5" hidden="1" x14ac:dyDescent="0.2">
      <c r="A206" s="271"/>
      <c r="B206" s="36"/>
      <c r="C206" s="77"/>
      <c r="D206" s="25"/>
      <c r="E206" s="25"/>
      <c r="F206" s="25"/>
      <c r="G206" s="79" t="s">
        <v>7</v>
      </c>
      <c r="H206" s="80" t="s">
        <v>9</v>
      </c>
      <c r="I206" s="13"/>
      <c r="J206" s="81">
        <f>T205</f>
        <v>0</v>
      </c>
      <c r="K206" s="13"/>
      <c r="L206" s="13"/>
      <c r="M206" s="13"/>
      <c r="N206" s="13"/>
      <c r="O206" s="36"/>
      <c r="P206" s="36"/>
      <c r="Q206" s="264"/>
      <c r="R206" s="36"/>
      <c r="S206" s="36"/>
      <c r="T206" s="36"/>
      <c r="U206" s="36"/>
      <c r="V206" s="36"/>
      <c r="W206" s="36"/>
      <c r="X206" s="272"/>
    </row>
    <row r="207" spans="1:24" ht="24.95" customHeight="1" x14ac:dyDescent="0.2">
      <c r="A207" s="271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163"/>
      <c r="O207" s="36"/>
      <c r="P207" s="36"/>
      <c r="Q207" s="264"/>
      <c r="R207" s="54"/>
      <c r="S207" s="36"/>
      <c r="T207" s="36"/>
      <c r="U207" s="36"/>
      <c r="V207" s="36"/>
      <c r="W207" s="36"/>
      <c r="X207" s="272"/>
    </row>
    <row r="208" spans="1:24" ht="12.75" customHeight="1" x14ac:dyDescent="0.2">
      <c r="A208" s="271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264"/>
      <c r="R208" s="54"/>
      <c r="S208" s="36"/>
      <c r="T208" s="36"/>
      <c r="U208" s="36"/>
      <c r="V208" s="36"/>
      <c r="W208" s="36"/>
      <c r="X208" s="272"/>
    </row>
    <row r="209" spans="1:24" ht="14.1" customHeight="1" x14ac:dyDescent="0.2">
      <c r="A209" s="271"/>
      <c r="B209" s="760" t="s">
        <v>519</v>
      </c>
      <c r="C209" s="770" t="s">
        <v>520</v>
      </c>
      <c r="D209" s="771"/>
      <c r="E209" s="771"/>
      <c r="F209" s="771"/>
      <c r="G209" s="771"/>
      <c r="H209" s="771"/>
      <c r="I209" s="771"/>
      <c r="J209" s="771"/>
      <c r="K209" s="771"/>
      <c r="L209" s="771"/>
      <c r="M209" s="771"/>
      <c r="N209" s="772"/>
      <c r="O209" s="36"/>
      <c r="P209" s="36"/>
      <c r="Q209" s="264"/>
      <c r="R209" s="54"/>
      <c r="S209" s="36"/>
      <c r="T209" s="36"/>
      <c r="U209" s="36"/>
      <c r="V209" s="36"/>
      <c r="W209" s="36"/>
      <c r="X209" s="272"/>
    </row>
    <row r="210" spans="1:24" ht="14.1" customHeight="1" x14ac:dyDescent="0.2">
      <c r="A210" s="271"/>
      <c r="B210" s="760"/>
      <c r="C210" s="761"/>
      <c r="D210" s="762"/>
      <c r="E210" s="762"/>
      <c r="F210" s="762"/>
      <c r="G210" s="762"/>
      <c r="H210" s="762"/>
      <c r="I210" s="762"/>
      <c r="J210" s="762"/>
      <c r="K210" s="762"/>
      <c r="L210" s="762"/>
      <c r="M210" s="762"/>
      <c r="N210" s="773"/>
      <c r="O210" s="36"/>
      <c r="P210" s="36"/>
      <c r="Q210" s="264"/>
      <c r="R210" s="54"/>
      <c r="S210" s="36"/>
      <c r="T210" s="36"/>
      <c r="U210" s="36"/>
      <c r="V210" s="36"/>
      <c r="W210" s="36"/>
      <c r="X210" s="272"/>
    </row>
    <row r="211" spans="1:24" ht="14.1" customHeight="1" x14ac:dyDescent="0.2">
      <c r="A211" s="271"/>
      <c r="B211" s="760"/>
      <c r="C211" s="774"/>
      <c r="D211" s="775"/>
      <c r="E211" s="775"/>
      <c r="F211" s="775"/>
      <c r="G211" s="775"/>
      <c r="H211" s="775"/>
      <c r="I211" s="775"/>
      <c r="J211" s="775"/>
      <c r="K211" s="775"/>
      <c r="L211" s="775"/>
      <c r="M211" s="775"/>
      <c r="N211" s="776"/>
      <c r="O211" s="36"/>
      <c r="P211" s="36"/>
      <c r="Q211" s="264"/>
      <c r="R211" s="54"/>
      <c r="S211" s="36"/>
      <c r="T211" s="36"/>
      <c r="U211" s="36"/>
      <c r="V211" s="36"/>
      <c r="W211" s="36"/>
      <c r="X211" s="272"/>
    </row>
    <row r="212" spans="1:24" ht="24" customHeight="1" x14ac:dyDescent="0.2">
      <c r="A212" s="271"/>
      <c r="B212" s="36"/>
      <c r="C212" s="808" t="str">
        <f>IF(R212=0,"Please, answer the following questions","")</f>
        <v>Please, answer the following questions</v>
      </c>
      <c r="D212" s="808"/>
      <c r="E212" s="808"/>
      <c r="F212" s="808"/>
      <c r="G212" s="808"/>
      <c r="H212" s="808"/>
      <c r="I212" s="808"/>
      <c r="J212" s="808"/>
      <c r="K212" s="36"/>
      <c r="L212" s="36"/>
      <c r="M212" s="36"/>
      <c r="N212" s="36"/>
      <c r="O212" s="36"/>
      <c r="P212" s="36"/>
      <c r="Q212" s="288" t="s">
        <v>304</v>
      </c>
      <c r="R212" s="54">
        <f>IF(COUNT(R213:R224)&gt;0,1,0)</f>
        <v>0</v>
      </c>
      <c r="S212" s="36"/>
      <c r="T212" s="36"/>
      <c r="U212" s="36"/>
      <c r="V212" s="36"/>
      <c r="W212" s="36"/>
      <c r="X212" s="272"/>
    </row>
    <row r="213" spans="1:24" ht="21" customHeight="1" x14ac:dyDescent="0.2">
      <c r="A213" s="271"/>
      <c r="B213" s="36"/>
      <c r="C213" s="742" t="s">
        <v>406</v>
      </c>
      <c r="D213" s="743"/>
      <c r="E213" s="743"/>
      <c r="F213" s="743"/>
      <c r="G213" s="743"/>
      <c r="H213" s="744"/>
      <c r="I213" s="73"/>
      <c r="J213" s="537"/>
      <c r="K213" s="36"/>
      <c r="L213" s="36"/>
      <c r="M213" s="36"/>
      <c r="N213" s="36"/>
      <c r="O213" s="36"/>
      <c r="P213" s="36"/>
      <c r="Q213" s="264">
        <v>0</v>
      </c>
      <c r="R213" s="89" t="str">
        <f>IF(J213="","",Q213)</f>
        <v/>
      </c>
      <c r="S213" s="36"/>
      <c r="T213" s="36"/>
      <c r="U213" s="36"/>
      <c r="V213" s="36"/>
      <c r="W213" s="36"/>
      <c r="X213" s="272"/>
    </row>
    <row r="214" spans="1:24" ht="21" customHeight="1" x14ac:dyDescent="0.2">
      <c r="A214" s="271"/>
      <c r="B214" s="36"/>
      <c r="C214" s="333"/>
      <c r="D214" s="331"/>
      <c r="E214" s="331"/>
      <c r="F214" s="331"/>
      <c r="G214" s="331"/>
      <c r="H214" s="331"/>
      <c r="I214" s="330"/>
      <c r="J214" s="529"/>
      <c r="K214" s="36"/>
      <c r="L214" s="36"/>
      <c r="M214" s="36"/>
      <c r="N214" s="36"/>
      <c r="O214" s="36"/>
      <c r="P214" s="36"/>
      <c r="Q214" s="264"/>
      <c r="R214" s="332"/>
      <c r="S214" s="36"/>
      <c r="T214" s="36"/>
      <c r="U214" s="36"/>
      <c r="V214" s="36"/>
      <c r="W214" s="36"/>
      <c r="X214" s="272"/>
    </row>
    <row r="215" spans="1:24" ht="21" customHeight="1" x14ac:dyDescent="0.2">
      <c r="A215" s="271"/>
      <c r="B215" s="36"/>
      <c r="C215" s="802" t="s">
        <v>159</v>
      </c>
      <c r="D215" s="821"/>
      <c r="E215" s="821"/>
      <c r="F215" s="821"/>
      <c r="G215" s="769" t="s">
        <v>164</v>
      </c>
      <c r="H215" s="769"/>
      <c r="I215" s="61"/>
      <c r="J215" s="536"/>
      <c r="K215" s="36"/>
      <c r="L215" s="36"/>
      <c r="M215" s="36"/>
      <c r="N215" s="36"/>
      <c r="O215" s="36"/>
      <c r="P215" s="36"/>
      <c r="Q215" s="264">
        <v>1.5</v>
      </c>
      <c r="R215" s="89" t="str">
        <f>IF(J215="","",Q215)</f>
        <v/>
      </c>
      <c r="S215" s="36"/>
      <c r="T215" s="36"/>
      <c r="U215" s="36"/>
      <c r="V215" s="36"/>
      <c r="W215" s="36"/>
      <c r="X215" s="272"/>
    </row>
    <row r="216" spans="1:24" ht="21" customHeight="1" x14ac:dyDescent="0.2">
      <c r="A216" s="271"/>
      <c r="B216" s="36"/>
      <c r="C216" s="803"/>
      <c r="D216" s="821"/>
      <c r="E216" s="821"/>
      <c r="F216" s="821"/>
      <c r="G216" s="769" t="s">
        <v>165</v>
      </c>
      <c r="H216" s="769"/>
      <c r="I216" s="61"/>
      <c r="J216" s="536"/>
      <c r="K216" s="36"/>
      <c r="L216" s="36"/>
      <c r="M216" s="36"/>
      <c r="N216" s="36"/>
      <c r="O216" s="36"/>
      <c r="P216" s="36"/>
      <c r="Q216" s="264">
        <v>4</v>
      </c>
      <c r="R216" s="89" t="str">
        <f t="shared" ref="R216:R224" si="4">IF(J216="","",Q216)</f>
        <v/>
      </c>
      <c r="S216" s="36"/>
      <c r="T216" s="36"/>
      <c r="U216" s="36"/>
      <c r="V216" s="36"/>
      <c r="W216" s="36"/>
      <c r="X216" s="272"/>
    </row>
    <row r="217" spans="1:24" ht="21" customHeight="1" x14ac:dyDescent="0.2">
      <c r="A217" s="271"/>
      <c r="B217" s="36"/>
      <c r="C217" s="803" t="s">
        <v>160</v>
      </c>
      <c r="D217" s="821"/>
      <c r="E217" s="821"/>
      <c r="F217" s="821"/>
      <c r="G217" s="769" t="s">
        <v>164</v>
      </c>
      <c r="H217" s="769"/>
      <c r="I217" s="61"/>
      <c r="J217" s="536"/>
      <c r="K217" s="36"/>
      <c r="L217" s="36"/>
      <c r="M217" s="36"/>
      <c r="N217" s="36"/>
      <c r="O217" s="36"/>
      <c r="P217" s="36"/>
      <c r="Q217" s="264">
        <v>1.5</v>
      </c>
      <c r="R217" s="89" t="str">
        <f t="shared" si="4"/>
        <v/>
      </c>
      <c r="S217" s="36"/>
      <c r="T217" s="36"/>
      <c r="U217" s="36"/>
      <c r="V217" s="36"/>
      <c r="W217" s="36"/>
      <c r="X217" s="272"/>
    </row>
    <row r="218" spans="1:24" ht="21" customHeight="1" x14ac:dyDescent="0.2">
      <c r="A218" s="271"/>
      <c r="B218" s="36"/>
      <c r="C218" s="803"/>
      <c r="D218" s="821"/>
      <c r="E218" s="821"/>
      <c r="F218" s="821"/>
      <c r="G218" s="769" t="s">
        <v>165</v>
      </c>
      <c r="H218" s="769"/>
      <c r="I218" s="61"/>
      <c r="J218" s="536"/>
      <c r="K218" s="36"/>
      <c r="L218" s="36"/>
      <c r="M218" s="36"/>
      <c r="N218" s="36"/>
      <c r="O218" s="36"/>
      <c r="P218" s="36"/>
      <c r="Q218" s="264">
        <v>4</v>
      </c>
      <c r="R218" s="89" t="str">
        <f t="shared" si="4"/>
        <v/>
      </c>
      <c r="S218" s="36"/>
      <c r="T218" s="36"/>
      <c r="U218" s="36"/>
      <c r="V218" s="36"/>
      <c r="W218" s="36"/>
      <c r="X218" s="272"/>
    </row>
    <row r="219" spans="1:24" ht="21" customHeight="1" x14ac:dyDescent="0.2">
      <c r="A219" s="271"/>
      <c r="B219" s="36"/>
      <c r="C219" s="803" t="s">
        <v>161</v>
      </c>
      <c r="D219" s="821"/>
      <c r="E219" s="821"/>
      <c r="F219" s="821"/>
      <c r="G219" s="769" t="s">
        <v>164</v>
      </c>
      <c r="H219" s="769"/>
      <c r="I219" s="61"/>
      <c r="J219" s="536"/>
      <c r="K219" s="36"/>
      <c r="L219" s="36"/>
      <c r="M219" s="36"/>
      <c r="N219" s="36"/>
      <c r="O219" s="36"/>
      <c r="P219" s="36"/>
      <c r="Q219" s="264">
        <v>1</v>
      </c>
      <c r="R219" s="89" t="str">
        <f t="shared" si="4"/>
        <v/>
      </c>
      <c r="S219" s="36"/>
      <c r="T219" s="36"/>
      <c r="U219" s="36"/>
      <c r="V219" s="36"/>
      <c r="W219" s="36"/>
      <c r="X219" s="272"/>
    </row>
    <row r="220" spans="1:24" ht="21" customHeight="1" x14ac:dyDescent="0.2">
      <c r="A220" s="271"/>
      <c r="B220" s="36"/>
      <c r="C220" s="803"/>
      <c r="D220" s="821"/>
      <c r="E220" s="821"/>
      <c r="F220" s="821"/>
      <c r="G220" s="769" t="s">
        <v>165</v>
      </c>
      <c r="H220" s="769"/>
      <c r="I220" s="61"/>
      <c r="J220" s="536"/>
      <c r="K220" s="36"/>
      <c r="L220" s="36"/>
      <c r="M220" s="36"/>
      <c r="N220" s="36"/>
      <c r="O220" s="36"/>
      <c r="P220" s="36"/>
      <c r="Q220" s="264">
        <v>2</v>
      </c>
      <c r="R220" s="89" t="str">
        <f t="shared" si="4"/>
        <v/>
      </c>
      <c r="S220" s="36"/>
      <c r="T220" s="36"/>
      <c r="U220" s="36"/>
      <c r="V220" s="36"/>
      <c r="W220" s="36"/>
      <c r="X220" s="272"/>
    </row>
    <row r="221" spans="1:24" ht="21" customHeight="1" x14ac:dyDescent="0.2">
      <c r="A221" s="271"/>
      <c r="B221" s="36"/>
      <c r="C221" s="803" t="s">
        <v>162</v>
      </c>
      <c r="D221" s="821" t="s">
        <v>574</v>
      </c>
      <c r="E221" s="821"/>
      <c r="F221" s="821"/>
      <c r="G221" s="769" t="s">
        <v>164</v>
      </c>
      <c r="H221" s="769"/>
      <c r="I221" s="61"/>
      <c r="J221" s="536"/>
      <c r="K221" s="36"/>
      <c r="L221" s="36"/>
      <c r="M221" s="36"/>
      <c r="N221" s="36"/>
      <c r="O221" s="36"/>
      <c r="P221" s="36"/>
      <c r="Q221" s="264">
        <v>1.5</v>
      </c>
      <c r="R221" s="89" t="str">
        <f t="shared" si="4"/>
        <v/>
      </c>
      <c r="S221" s="36"/>
      <c r="T221" s="36"/>
      <c r="U221" s="36"/>
      <c r="V221" s="36"/>
      <c r="W221" s="36"/>
      <c r="X221" s="272"/>
    </row>
    <row r="222" spans="1:24" ht="21" customHeight="1" x14ac:dyDescent="0.2">
      <c r="A222" s="271"/>
      <c r="B222" s="36"/>
      <c r="C222" s="803"/>
      <c r="D222" s="821"/>
      <c r="E222" s="821"/>
      <c r="F222" s="821"/>
      <c r="G222" s="769" t="s">
        <v>165</v>
      </c>
      <c r="H222" s="769"/>
      <c r="I222" s="61"/>
      <c r="J222" s="536"/>
      <c r="K222" s="36"/>
      <c r="L222" s="36"/>
      <c r="M222" s="36"/>
      <c r="N222" s="36"/>
      <c r="O222" s="36"/>
      <c r="P222" s="36"/>
      <c r="Q222" s="264">
        <v>4</v>
      </c>
      <c r="R222" s="89" t="str">
        <f t="shared" si="4"/>
        <v/>
      </c>
      <c r="S222" s="36"/>
      <c r="T222" s="36"/>
      <c r="U222" s="36"/>
      <c r="V222" s="36"/>
      <c r="W222" s="36"/>
      <c r="X222" s="272"/>
    </row>
    <row r="223" spans="1:24" ht="21" customHeight="1" thickBot="1" x14ac:dyDescent="0.25">
      <c r="A223" s="271"/>
      <c r="B223" s="36"/>
      <c r="C223" s="803" t="s">
        <v>163</v>
      </c>
      <c r="D223" s="821"/>
      <c r="E223" s="821"/>
      <c r="F223" s="821"/>
      <c r="G223" s="769" t="s">
        <v>164</v>
      </c>
      <c r="H223" s="769"/>
      <c r="I223" s="61"/>
      <c r="J223" s="536"/>
      <c r="K223" s="36"/>
      <c r="L223" s="36"/>
      <c r="M223" s="36"/>
      <c r="N223" s="36"/>
      <c r="O223" s="36"/>
      <c r="P223" s="36"/>
      <c r="Q223" s="264">
        <v>1.5</v>
      </c>
      <c r="R223" s="89" t="str">
        <f t="shared" si="4"/>
        <v/>
      </c>
      <c r="S223" s="36"/>
      <c r="T223" s="36"/>
      <c r="U223" s="36" t="s">
        <v>27</v>
      </c>
      <c r="V223" s="36"/>
      <c r="W223" s="36"/>
      <c r="X223" s="272"/>
    </row>
    <row r="224" spans="1:24" ht="21" customHeight="1" thickBot="1" x14ac:dyDescent="0.25">
      <c r="A224" s="271"/>
      <c r="B224" s="36"/>
      <c r="C224" s="803"/>
      <c r="D224" s="821"/>
      <c r="E224" s="821"/>
      <c r="F224" s="821"/>
      <c r="G224" s="769" t="s">
        <v>165</v>
      </c>
      <c r="H224" s="769"/>
      <c r="I224" s="61"/>
      <c r="J224" s="536"/>
      <c r="K224" s="36"/>
      <c r="L224" s="36"/>
      <c r="M224" s="36"/>
      <c r="N224" s="36"/>
      <c r="O224" s="36"/>
      <c r="P224" s="36"/>
      <c r="Q224" s="264">
        <v>4</v>
      </c>
      <c r="R224" s="89" t="str">
        <f t="shared" si="4"/>
        <v/>
      </c>
      <c r="S224" s="36"/>
      <c r="T224" s="262">
        <f>SUM(R213:R224)</f>
        <v>0</v>
      </c>
      <c r="U224" s="263" t="str">
        <f>IF(R212=1,IF(T224/4&gt;100%,100%,T224/4),"")</f>
        <v/>
      </c>
      <c r="V224" s="36"/>
      <c r="W224" s="36"/>
      <c r="X224" s="272"/>
    </row>
    <row r="225" spans="1:24" ht="21" hidden="1" customHeight="1" thickBot="1" x14ac:dyDescent="0.25">
      <c r="A225" s="271"/>
      <c r="B225" s="13"/>
      <c r="C225" s="710" t="s">
        <v>25</v>
      </c>
      <c r="D225" s="711"/>
      <c r="E225" s="711"/>
      <c r="F225" s="711"/>
      <c r="G225" s="712" t="s">
        <v>7</v>
      </c>
      <c r="H225" s="713" t="s">
        <v>9</v>
      </c>
      <c r="I225" s="9"/>
      <c r="J225" s="94">
        <f>T224</f>
        <v>0</v>
      </c>
      <c r="K225" s="36"/>
      <c r="L225" s="36"/>
      <c r="M225" s="36"/>
      <c r="N225" s="36"/>
      <c r="O225" s="36"/>
      <c r="P225" s="36"/>
      <c r="Q225" s="264"/>
      <c r="R225" s="36"/>
      <c r="S225" s="36"/>
      <c r="T225" s="36"/>
      <c r="U225" s="36"/>
      <c r="V225" s="36"/>
      <c r="W225" s="36"/>
      <c r="X225" s="272"/>
    </row>
    <row r="226" spans="1:24" ht="24.95" customHeight="1" x14ac:dyDescent="0.2">
      <c r="A226" s="271"/>
      <c r="B226" s="36"/>
      <c r="C226" s="736" t="s">
        <v>219</v>
      </c>
      <c r="D226" s="737"/>
      <c r="E226" s="737"/>
      <c r="F226" s="737"/>
      <c r="G226" s="737"/>
      <c r="H226" s="738"/>
      <c r="I226" s="36"/>
      <c r="J226" s="709" t="str">
        <f>IF(T224&gt;0,"Proceed to the sheet POLLUTTANTS","")</f>
        <v/>
      </c>
      <c r="K226" s="36"/>
      <c r="L226" s="36"/>
      <c r="M226" s="36"/>
      <c r="N226" s="163"/>
      <c r="O226" s="36"/>
      <c r="P226" s="36"/>
      <c r="Q226" s="264"/>
      <c r="R226" s="54"/>
      <c r="S226" s="252"/>
      <c r="T226" s="36"/>
      <c r="U226" s="36"/>
      <c r="V226" s="36"/>
      <c r="W226" s="36"/>
      <c r="X226" s="272"/>
    </row>
    <row r="227" spans="1:24" ht="12.75" customHeight="1" x14ac:dyDescent="0.2">
      <c r="A227" s="271"/>
      <c r="B227" s="36"/>
      <c r="C227" s="95"/>
      <c r="D227" s="60"/>
      <c r="E227" s="60"/>
      <c r="F227" s="60"/>
      <c r="G227" s="96"/>
      <c r="H227" s="97"/>
      <c r="I227" s="36"/>
      <c r="J227" s="98"/>
      <c r="K227" s="36"/>
      <c r="L227" s="36"/>
      <c r="M227" s="36"/>
      <c r="N227" s="36"/>
      <c r="O227" s="36"/>
      <c r="P227" s="36"/>
      <c r="Q227" s="264"/>
      <c r="R227" s="54"/>
      <c r="S227" s="252"/>
      <c r="T227" s="36"/>
      <c r="U227" s="36"/>
      <c r="V227" s="36"/>
      <c r="W227" s="36"/>
      <c r="X227" s="272"/>
    </row>
    <row r="228" spans="1:24" ht="14.1" customHeight="1" x14ac:dyDescent="0.2">
      <c r="A228" s="271"/>
      <c r="B228" s="760" t="s">
        <v>526</v>
      </c>
      <c r="C228" s="770" t="s">
        <v>527</v>
      </c>
      <c r="D228" s="771"/>
      <c r="E228" s="771"/>
      <c r="F228" s="771"/>
      <c r="G228" s="771"/>
      <c r="H228" s="771"/>
      <c r="I228" s="771"/>
      <c r="J228" s="771"/>
      <c r="K228" s="771"/>
      <c r="L228" s="771"/>
      <c r="M228" s="771"/>
      <c r="N228" s="772"/>
      <c r="O228" s="36"/>
      <c r="P228" s="36"/>
      <c r="Q228" s="264"/>
      <c r="R228" s="54"/>
      <c r="S228" s="36"/>
      <c r="T228" s="36"/>
      <c r="U228" s="36"/>
      <c r="V228" s="36"/>
      <c r="W228" s="36"/>
      <c r="X228" s="272"/>
    </row>
    <row r="229" spans="1:24" ht="14.1" customHeight="1" x14ac:dyDescent="0.2">
      <c r="A229" s="271"/>
      <c r="B229" s="760"/>
      <c r="C229" s="761"/>
      <c r="D229" s="762"/>
      <c r="E229" s="762"/>
      <c r="F229" s="762"/>
      <c r="G229" s="762"/>
      <c r="H229" s="762"/>
      <c r="I229" s="762"/>
      <c r="J229" s="762"/>
      <c r="K229" s="762"/>
      <c r="L229" s="762"/>
      <c r="M229" s="762"/>
      <c r="N229" s="773"/>
      <c r="O229" s="36"/>
      <c r="P229" s="36"/>
      <c r="Q229" s="288" t="s">
        <v>304</v>
      </c>
      <c r="R229" s="89">
        <f>R233*R240*R245</f>
        <v>0</v>
      </c>
      <c r="S229" s="36"/>
      <c r="T229" s="36"/>
      <c r="U229" s="36"/>
      <c r="V229" s="36"/>
      <c r="W229" s="36"/>
      <c r="X229" s="272"/>
    </row>
    <row r="230" spans="1:24" ht="14.1" customHeight="1" x14ac:dyDescent="0.2">
      <c r="A230" s="271"/>
      <c r="B230" s="760"/>
      <c r="C230" s="774"/>
      <c r="D230" s="775"/>
      <c r="E230" s="775"/>
      <c r="F230" s="775"/>
      <c r="G230" s="775"/>
      <c r="H230" s="775"/>
      <c r="I230" s="775"/>
      <c r="J230" s="775"/>
      <c r="K230" s="775"/>
      <c r="L230" s="775"/>
      <c r="M230" s="775"/>
      <c r="N230" s="776"/>
      <c r="O230" s="36"/>
      <c r="P230" s="36"/>
      <c r="Q230" s="264"/>
      <c r="R230" s="54"/>
      <c r="S230" s="36"/>
      <c r="T230" s="36"/>
      <c r="U230" s="36"/>
      <c r="V230" s="36"/>
      <c r="W230" s="36"/>
      <c r="X230" s="272"/>
    </row>
    <row r="231" spans="1:24" ht="14.25" customHeight="1" x14ac:dyDescent="0.2">
      <c r="A231" s="27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Q231" s="37"/>
      <c r="S231" s="36"/>
      <c r="T231" s="36"/>
      <c r="U231" s="36"/>
      <c r="V231" s="36"/>
      <c r="W231" s="36"/>
      <c r="X231" s="272"/>
    </row>
    <row r="232" spans="1:24" ht="21" customHeight="1" x14ac:dyDescent="0.2">
      <c r="A232" s="271"/>
      <c r="B232" s="36"/>
      <c r="C232" s="530" t="s">
        <v>455</v>
      </c>
      <c r="D232" s="530"/>
      <c r="E232" s="530"/>
      <c r="F232" s="530"/>
      <c r="G232" s="530"/>
      <c r="H232" s="530"/>
      <c r="I232" s="530"/>
      <c r="J232" s="530"/>
      <c r="K232" s="530"/>
      <c r="L232" s="530"/>
      <c r="M232" s="36"/>
      <c r="N232" s="36"/>
      <c r="O232" s="36"/>
      <c r="P232" s="36"/>
      <c r="Q232" s="288"/>
      <c r="R232" s="54"/>
      <c r="S232" s="36"/>
      <c r="T232" s="36"/>
      <c r="U232" s="36"/>
      <c r="V232" s="36"/>
      <c r="W232" s="36"/>
      <c r="X232" s="272"/>
    </row>
    <row r="233" spans="1:24" ht="18" customHeight="1" x14ac:dyDescent="0.2">
      <c r="A233" s="271"/>
      <c r="B233" s="36"/>
      <c r="C233" s="825" t="str">
        <f>IF(R233=0,"Please, answer the following question","")</f>
        <v>Please, answer the following question</v>
      </c>
      <c r="D233" s="825"/>
      <c r="E233" s="825"/>
      <c r="F233" s="825"/>
      <c r="G233" s="825"/>
      <c r="H233" s="825"/>
      <c r="I233" s="825"/>
      <c r="J233" s="825"/>
      <c r="K233" s="36"/>
      <c r="L233" s="36"/>
      <c r="M233" s="36"/>
      <c r="N233" s="36"/>
      <c r="O233" s="36"/>
      <c r="P233" s="36"/>
      <c r="Q233" s="288" t="s">
        <v>304</v>
      </c>
      <c r="R233" s="54">
        <f>IF(COUNT(R234:R237)&gt;0,1,0)</f>
        <v>0</v>
      </c>
      <c r="S233" s="36"/>
      <c r="T233" s="36"/>
      <c r="U233" s="36"/>
      <c r="V233" s="36"/>
      <c r="W233" s="36"/>
      <c r="X233" s="272"/>
    </row>
    <row r="234" spans="1:24" ht="21" customHeight="1" x14ac:dyDescent="0.2">
      <c r="A234" s="271"/>
      <c r="B234" s="36"/>
      <c r="C234" s="820" t="s">
        <v>166</v>
      </c>
      <c r="D234" s="822" t="s">
        <v>169</v>
      </c>
      <c r="E234" s="823"/>
      <c r="F234" s="823"/>
      <c r="G234" s="823"/>
      <c r="H234" s="824"/>
      <c r="I234" s="73"/>
      <c r="J234" s="536"/>
      <c r="K234" s="36"/>
      <c r="L234" s="36"/>
      <c r="M234" s="36"/>
      <c r="N234" s="36"/>
      <c r="O234" s="36"/>
      <c r="P234" s="36"/>
      <c r="Q234" s="264">
        <v>0</v>
      </c>
      <c r="R234" s="255" t="str">
        <f>IF(J234="","",Q234)</f>
        <v/>
      </c>
      <c r="S234" s="36"/>
      <c r="T234" s="36"/>
      <c r="U234" s="36"/>
      <c r="V234" s="36"/>
      <c r="W234" s="36"/>
      <c r="X234" s="272"/>
    </row>
    <row r="235" spans="1:24" ht="21" customHeight="1" x14ac:dyDescent="0.2">
      <c r="A235" s="271"/>
      <c r="B235" s="36"/>
      <c r="C235" s="820"/>
      <c r="D235" s="822" t="s">
        <v>170</v>
      </c>
      <c r="E235" s="823"/>
      <c r="F235" s="823"/>
      <c r="G235" s="823"/>
      <c r="H235" s="824"/>
      <c r="I235" s="73"/>
      <c r="J235" s="536"/>
      <c r="K235" s="36"/>
      <c r="L235" s="36"/>
      <c r="M235" s="36"/>
      <c r="N235" s="36"/>
      <c r="O235" s="36"/>
      <c r="P235" s="36"/>
      <c r="Q235" s="264">
        <v>1</v>
      </c>
      <c r="R235" s="255" t="str">
        <f t="shared" ref="R235:R247" si="5">IF(J235="","",Q235)</f>
        <v/>
      </c>
      <c r="S235" s="36"/>
      <c r="T235" s="36"/>
      <c r="U235" s="36"/>
      <c r="V235" s="36"/>
      <c r="W235" s="36"/>
      <c r="X235" s="272"/>
    </row>
    <row r="236" spans="1:24" ht="21" customHeight="1" x14ac:dyDescent="0.2">
      <c r="A236" s="271"/>
      <c r="B236" s="36"/>
      <c r="C236" s="820"/>
      <c r="D236" s="822" t="s">
        <v>171</v>
      </c>
      <c r="E236" s="823"/>
      <c r="F236" s="823"/>
      <c r="G236" s="823"/>
      <c r="H236" s="824"/>
      <c r="I236" s="73"/>
      <c r="J236" s="536"/>
      <c r="K236" s="36"/>
      <c r="L236" s="36"/>
      <c r="M236" s="36"/>
      <c r="N236" s="36"/>
      <c r="O236" s="36"/>
      <c r="P236" s="36"/>
      <c r="Q236" s="264">
        <v>3</v>
      </c>
      <c r="R236" s="255" t="str">
        <f t="shared" si="5"/>
        <v/>
      </c>
      <c r="S236" s="36"/>
      <c r="T236" s="36"/>
      <c r="U236" s="36"/>
      <c r="V236" s="36"/>
      <c r="W236" s="36"/>
      <c r="X236" s="272"/>
    </row>
    <row r="237" spans="1:24" ht="21" customHeight="1" x14ac:dyDescent="0.2">
      <c r="A237" s="271"/>
      <c r="B237" s="36"/>
      <c r="C237" s="820"/>
      <c r="D237" s="822" t="s">
        <v>172</v>
      </c>
      <c r="E237" s="823"/>
      <c r="F237" s="823"/>
      <c r="G237" s="823"/>
      <c r="H237" s="824"/>
      <c r="I237" s="73"/>
      <c r="J237" s="536"/>
      <c r="K237" s="36"/>
      <c r="L237" s="36"/>
      <c r="M237" s="36"/>
      <c r="N237" s="36"/>
      <c r="O237" s="36"/>
      <c r="P237" s="36"/>
      <c r="Q237" s="264">
        <v>4</v>
      </c>
      <c r="R237" s="255" t="str">
        <f t="shared" si="5"/>
        <v/>
      </c>
      <c r="S237" s="36"/>
      <c r="T237" s="36"/>
      <c r="U237" s="36"/>
      <c r="V237" s="36"/>
      <c r="W237" s="36"/>
      <c r="X237" s="272"/>
    </row>
    <row r="238" spans="1:24" ht="14.25" customHeight="1" x14ac:dyDescent="0.2">
      <c r="A238" s="271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288"/>
      <c r="R238" s="40"/>
      <c r="S238" s="36"/>
      <c r="T238" s="36"/>
      <c r="U238" s="36"/>
      <c r="V238" s="36"/>
      <c r="W238" s="36"/>
      <c r="X238" s="272"/>
    </row>
    <row r="239" spans="1:24" ht="21" customHeight="1" x14ac:dyDescent="0.2">
      <c r="A239" s="271"/>
      <c r="B239" s="36"/>
      <c r="C239" s="530" t="s">
        <v>456</v>
      </c>
      <c r="D239" s="530"/>
      <c r="E239" s="530"/>
      <c r="F239" s="530"/>
      <c r="G239" s="530"/>
      <c r="H239" s="530"/>
      <c r="I239" s="530"/>
      <c r="J239" s="530"/>
      <c r="K239" s="530"/>
      <c r="L239" s="530"/>
      <c r="M239" s="36"/>
      <c r="N239" s="36"/>
      <c r="O239" s="36"/>
      <c r="P239" s="36"/>
      <c r="Q239" s="288"/>
      <c r="R239" s="40"/>
      <c r="S239" s="36"/>
      <c r="T239" s="36"/>
      <c r="U239" s="36"/>
      <c r="V239" s="36"/>
      <c r="W239" s="36"/>
      <c r="X239" s="272"/>
    </row>
    <row r="240" spans="1:24" ht="18" customHeight="1" x14ac:dyDescent="0.2">
      <c r="A240" s="271"/>
      <c r="B240" s="36"/>
      <c r="C240" s="36"/>
      <c r="D240" s="36"/>
      <c r="E240" s="36"/>
      <c r="F240" s="36"/>
      <c r="G240" s="460"/>
      <c r="H240" s="460"/>
      <c r="I240" s="460"/>
      <c r="J240" s="521" t="str">
        <f>IF(R240=0,"Please, answer the following question","")</f>
        <v>Please, answer the following question</v>
      </c>
      <c r="K240" s="36"/>
      <c r="L240" s="36"/>
      <c r="M240" s="36"/>
      <c r="N240" s="36"/>
      <c r="O240" s="36"/>
      <c r="P240" s="36"/>
      <c r="Q240" s="288" t="s">
        <v>304</v>
      </c>
      <c r="R240" s="40">
        <f>IF(COUNT(R241:R242)&gt;0,1,0)</f>
        <v>0</v>
      </c>
      <c r="S240" s="36"/>
      <c r="T240" s="36"/>
      <c r="U240" s="36"/>
      <c r="V240" s="36"/>
      <c r="W240" s="36"/>
      <c r="X240" s="272"/>
    </row>
    <row r="241" spans="1:24" ht="21" customHeight="1" x14ac:dyDescent="0.2">
      <c r="A241" s="271"/>
      <c r="B241" s="36"/>
      <c r="C241" s="820" t="s">
        <v>167</v>
      </c>
      <c r="D241" s="817" t="s">
        <v>173</v>
      </c>
      <c r="E241" s="818"/>
      <c r="F241" s="818"/>
      <c r="G241" s="818"/>
      <c r="H241" s="819"/>
      <c r="I241" s="73"/>
      <c r="J241" s="536"/>
      <c r="K241" s="36"/>
      <c r="L241" s="36"/>
      <c r="M241" s="36"/>
      <c r="N241" s="36"/>
      <c r="O241" s="36"/>
      <c r="P241" s="36"/>
      <c r="Q241" s="264">
        <v>0</v>
      </c>
      <c r="R241" s="255" t="str">
        <f t="shared" si="5"/>
        <v/>
      </c>
      <c r="S241" s="36"/>
      <c r="T241" s="36"/>
      <c r="U241" s="36"/>
      <c r="V241" s="36"/>
      <c r="W241" s="36"/>
      <c r="X241" s="272"/>
    </row>
    <row r="242" spans="1:24" ht="21" customHeight="1" x14ac:dyDescent="0.2">
      <c r="A242" s="271"/>
      <c r="B242" s="36"/>
      <c r="C242" s="820"/>
      <c r="D242" s="817" t="s">
        <v>174</v>
      </c>
      <c r="E242" s="818"/>
      <c r="F242" s="818"/>
      <c r="G242" s="818"/>
      <c r="H242" s="819"/>
      <c r="I242" s="73"/>
      <c r="J242" s="536"/>
      <c r="K242" s="36"/>
      <c r="L242" s="36"/>
      <c r="M242" s="36"/>
      <c r="N242" s="36"/>
      <c r="O242" s="36"/>
      <c r="P242" s="36"/>
      <c r="Q242" s="264">
        <v>2</v>
      </c>
      <c r="R242" s="255" t="str">
        <f t="shared" si="5"/>
        <v/>
      </c>
      <c r="S242" s="36"/>
      <c r="T242" s="36"/>
      <c r="U242" s="36"/>
      <c r="V242" s="36"/>
      <c r="W242" s="36"/>
      <c r="X242" s="272"/>
    </row>
    <row r="243" spans="1:24" ht="14.25" customHeight="1" x14ac:dyDescent="0.2">
      <c r="A243" s="271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288"/>
      <c r="R243" s="40"/>
      <c r="S243" s="36"/>
      <c r="T243" s="36"/>
      <c r="U243" s="36"/>
      <c r="V243" s="36"/>
      <c r="W243" s="36"/>
      <c r="X243" s="272"/>
    </row>
    <row r="244" spans="1:24" ht="21" customHeight="1" x14ac:dyDescent="0.2">
      <c r="A244" s="271"/>
      <c r="B244" s="36"/>
      <c r="C244" s="530" t="s">
        <v>457</v>
      </c>
      <c r="D244" s="530"/>
      <c r="E244" s="530"/>
      <c r="F244" s="530"/>
      <c r="G244" s="530"/>
      <c r="H244" s="530"/>
      <c r="I244" s="530"/>
      <c r="J244" s="530"/>
      <c r="K244" s="530"/>
      <c r="L244" s="530"/>
      <c r="M244" s="36"/>
      <c r="N244" s="36"/>
      <c r="O244" s="36"/>
      <c r="P244" s="36"/>
      <c r="Q244" s="288"/>
      <c r="R244" s="40"/>
      <c r="S244" s="36"/>
      <c r="T244" s="36"/>
      <c r="U244" s="36"/>
      <c r="V244" s="36"/>
      <c r="W244" s="36"/>
      <c r="X244" s="272"/>
    </row>
    <row r="245" spans="1:24" ht="18" customHeight="1" x14ac:dyDescent="0.2">
      <c r="A245" s="271"/>
      <c r="B245" s="36"/>
      <c r="C245" s="36"/>
      <c r="D245" s="36"/>
      <c r="E245" s="36"/>
      <c r="F245" s="36"/>
      <c r="G245" s="460"/>
      <c r="H245" s="460"/>
      <c r="I245" s="460"/>
      <c r="J245" s="521" t="str">
        <f>IF(R245=0,"Please, answer the following question","")</f>
        <v>Please, answer the following question</v>
      </c>
      <c r="K245" s="36"/>
      <c r="L245" s="36"/>
      <c r="M245" s="36"/>
      <c r="N245" s="36"/>
      <c r="O245" s="36"/>
      <c r="P245" s="36"/>
      <c r="Q245" s="288" t="s">
        <v>304</v>
      </c>
      <c r="R245" s="40">
        <f>IF(COUNT(R246:R247)&gt;0,1,0)</f>
        <v>0</v>
      </c>
      <c r="S245" s="36"/>
      <c r="T245" s="36"/>
      <c r="U245" s="36"/>
      <c r="V245" s="36"/>
      <c r="W245" s="36"/>
      <c r="X245" s="272"/>
    </row>
    <row r="246" spans="1:24" ht="21" customHeight="1" thickBot="1" x14ac:dyDescent="0.25">
      <c r="A246" s="271"/>
      <c r="B246" s="36"/>
      <c r="C246" s="820" t="s">
        <v>168</v>
      </c>
      <c r="D246" s="817" t="s">
        <v>175</v>
      </c>
      <c r="E246" s="818"/>
      <c r="F246" s="818"/>
      <c r="G246" s="818"/>
      <c r="H246" s="819"/>
      <c r="I246" s="73"/>
      <c r="J246" s="536"/>
      <c r="K246" s="36"/>
      <c r="L246" s="36"/>
      <c r="M246" s="36"/>
      <c r="N246" s="36"/>
      <c r="O246" s="36"/>
      <c r="P246" s="36"/>
      <c r="Q246" s="264">
        <v>0</v>
      </c>
      <c r="R246" s="255" t="str">
        <f t="shared" si="5"/>
        <v/>
      </c>
      <c r="S246" s="36"/>
      <c r="T246" s="36"/>
      <c r="U246" s="36" t="s">
        <v>26</v>
      </c>
      <c r="V246" s="36"/>
      <c r="W246" s="36"/>
      <c r="X246" s="272"/>
    </row>
    <row r="247" spans="1:24" ht="21" customHeight="1" thickBot="1" x14ac:dyDescent="0.25">
      <c r="A247" s="271"/>
      <c r="B247" s="36"/>
      <c r="C247" s="820"/>
      <c r="D247" s="817" t="s">
        <v>176</v>
      </c>
      <c r="E247" s="818"/>
      <c r="F247" s="818"/>
      <c r="G247" s="818"/>
      <c r="H247" s="819"/>
      <c r="I247" s="73"/>
      <c r="J247" s="536"/>
      <c r="K247" s="36"/>
      <c r="L247" s="36"/>
      <c r="M247" s="36"/>
      <c r="N247" s="36"/>
      <c r="O247" s="36"/>
      <c r="P247" s="36"/>
      <c r="Q247" s="264">
        <v>8</v>
      </c>
      <c r="R247" s="255" t="str">
        <f t="shared" si="5"/>
        <v/>
      </c>
      <c r="S247" s="36"/>
      <c r="T247" s="262">
        <f>SUM(R234:R237,R241:R242,R246:R247)</f>
        <v>0</v>
      </c>
      <c r="U247" s="263" t="str">
        <f>IF(R229=1,IF(T247/8&gt;100%,100%,T247/8),"")</f>
        <v/>
      </c>
      <c r="V247" s="36"/>
      <c r="W247" s="36"/>
      <c r="X247" s="272"/>
    </row>
    <row r="248" spans="1:24" ht="23.25" hidden="1" thickBot="1" x14ac:dyDescent="0.25">
      <c r="A248" s="271"/>
      <c r="B248" s="13"/>
      <c r="C248" s="90" t="s">
        <v>25</v>
      </c>
      <c r="D248" s="91"/>
      <c r="E248" s="91"/>
      <c r="F248" s="91"/>
      <c r="G248" s="92" t="s">
        <v>7</v>
      </c>
      <c r="H248" s="93" t="s">
        <v>9</v>
      </c>
      <c r="I248" s="9"/>
      <c r="J248" s="94">
        <f>T247</f>
        <v>0</v>
      </c>
      <c r="K248" s="13"/>
      <c r="L248" s="13"/>
      <c r="M248" s="13"/>
      <c r="N248" s="13"/>
      <c r="O248" s="36"/>
      <c r="P248" s="36"/>
      <c r="Q248" s="264"/>
      <c r="R248" s="36"/>
      <c r="S248" s="36"/>
      <c r="T248" s="36"/>
      <c r="U248" s="36"/>
      <c r="V248" s="36"/>
      <c r="W248" s="36"/>
      <c r="X248" s="272"/>
    </row>
    <row r="249" spans="1:24" ht="24.95" customHeight="1" x14ac:dyDescent="0.2">
      <c r="A249" s="271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163"/>
      <c r="O249" s="36"/>
      <c r="P249" s="36"/>
      <c r="Q249" s="264"/>
      <c r="R249" s="36"/>
      <c r="S249" s="36"/>
      <c r="T249" s="36"/>
      <c r="U249" s="36"/>
      <c r="V249" s="36"/>
      <c r="W249" s="36"/>
      <c r="X249" s="272"/>
    </row>
    <row r="250" spans="1:24" x14ac:dyDescent="0.2">
      <c r="A250" s="278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279"/>
      <c r="R250" s="86"/>
      <c r="S250" s="86"/>
      <c r="T250" s="86"/>
      <c r="U250" s="86"/>
      <c r="V250" s="86"/>
      <c r="W250" s="86"/>
      <c r="X250" s="280"/>
    </row>
    <row r="251" spans="1:24" hidden="1" x14ac:dyDescent="0.2">
      <c r="A251" s="8"/>
      <c r="B251" s="8"/>
      <c r="C251" s="8"/>
      <c r="D251" s="8"/>
      <c r="E251" s="8"/>
      <c r="F251" s="8"/>
      <c r="G251" s="8"/>
      <c r="H251" s="8"/>
      <c r="J251" s="8"/>
      <c r="K251" s="8"/>
      <c r="M251" s="8"/>
      <c r="N251" s="8"/>
      <c r="O251" s="8"/>
      <c r="P251" s="8"/>
      <c r="Q251" s="687"/>
      <c r="R251" s="8"/>
      <c r="S251" s="8"/>
      <c r="T251" s="8"/>
      <c r="U251" s="8"/>
      <c r="V251" s="8"/>
      <c r="W251" s="8"/>
      <c r="X251" s="8"/>
    </row>
    <row r="252" spans="1:24" hidden="1" x14ac:dyDescent="0.2">
      <c r="A252" s="8"/>
      <c r="B252" s="8"/>
      <c r="C252" s="8"/>
      <c r="D252" s="8"/>
      <c r="E252" s="8"/>
      <c r="F252" s="8"/>
      <c r="G252" s="8"/>
      <c r="H252" s="8"/>
      <c r="J252" s="8"/>
      <c r="K252" s="8"/>
      <c r="M252" s="8"/>
      <c r="N252" s="8"/>
      <c r="O252" s="8"/>
      <c r="P252" s="8"/>
      <c r="Q252" s="687"/>
      <c r="R252" s="8"/>
      <c r="S252" s="8"/>
      <c r="T252" s="8"/>
      <c r="U252" s="8"/>
      <c r="V252" s="8"/>
      <c r="W252" s="8"/>
      <c r="X252" s="8"/>
    </row>
    <row r="253" spans="1:24" hidden="1" x14ac:dyDescent="0.2">
      <c r="A253" s="8"/>
      <c r="B253" s="8"/>
      <c r="C253" s="8"/>
      <c r="D253" s="8"/>
      <c r="E253" s="8"/>
      <c r="F253" s="8"/>
      <c r="G253" s="8"/>
      <c r="H253" s="8"/>
      <c r="J253" s="8"/>
      <c r="K253" s="8"/>
      <c r="M253" s="8"/>
      <c r="N253" s="8"/>
      <c r="O253" s="8"/>
      <c r="P253" s="8"/>
      <c r="Q253" s="687"/>
      <c r="R253" s="8"/>
      <c r="S253" s="8"/>
      <c r="T253" s="8"/>
      <c r="U253" s="8"/>
      <c r="V253" s="8"/>
      <c r="W253" s="8"/>
      <c r="X253" s="8"/>
    </row>
    <row r="254" spans="1:24" hidden="1" x14ac:dyDescent="0.2">
      <c r="A254" s="8"/>
      <c r="B254" s="8"/>
      <c r="C254" s="8"/>
      <c r="D254" s="8"/>
      <c r="E254" s="8"/>
      <c r="F254" s="8"/>
      <c r="G254" s="8"/>
      <c r="H254" s="8"/>
      <c r="J254" s="8"/>
      <c r="K254" s="8"/>
      <c r="M254" s="8"/>
      <c r="N254" s="8"/>
      <c r="O254" s="8"/>
      <c r="P254" s="8"/>
      <c r="Q254" s="687"/>
      <c r="R254" s="8"/>
      <c r="S254" s="8"/>
      <c r="T254" s="8"/>
      <c r="U254" s="8"/>
      <c r="V254" s="8"/>
      <c r="W254" s="8"/>
      <c r="X254" s="8"/>
    </row>
    <row r="255" spans="1:24" hidden="1" x14ac:dyDescent="0.2">
      <c r="A255" s="8"/>
      <c r="B255" s="8"/>
      <c r="C255" s="8"/>
      <c r="D255" s="8"/>
      <c r="E255" s="8"/>
      <c r="F255" s="8"/>
      <c r="G255" s="8"/>
      <c r="H255" s="8"/>
      <c r="J255" s="8"/>
      <c r="K255" s="8"/>
      <c r="M255" s="8"/>
      <c r="N255" s="8"/>
      <c r="O255" s="8"/>
      <c r="P255" s="8"/>
      <c r="Q255" s="687"/>
      <c r="R255" s="8"/>
      <c r="S255" s="8"/>
      <c r="T255" s="8"/>
      <c r="U255" s="8"/>
      <c r="V255" s="8"/>
      <c r="W255" s="8"/>
      <c r="X255" s="8"/>
    </row>
    <row r="256" spans="1:24" hidden="1" x14ac:dyDescent="0.2">
      <c r="A256" s="8"/>
      <c r="B256" s="8"/>
      <c r="C256" s="8"/>
      <c r="D256" s="8"/>
      <c r="E256" s="8"/>
      <c r="F256" s="8"/>
      <c r="G256" s="8"/>
      <c r="H256" s="8"/>
      <c r="J256" s="8"/>
      <c r="K256" s="8"/>
      <c r="M256" s="8"/>
      <c r="N256" s="8"/>
      <c r="O256" s="8"/>
      <c r="P256" s="8"/>
      <c r="Q256" s="687"/>
      <c r="R256" s="8"/>
      <c r="S256" s="8"/>
      <c r="T256" s="8"/>
      <c r="U256" s="8"/>
      <c r="V256" s="8"/>
      <c r="W256" s="8"/>
      <c r="X256" s="8"/>
    </row>
    <row r="257" spans="1:24" hidden="1" x14ac:dyDescent="0.2">
      <c r="A257" s="8"/>
      <c r="B257" s="8"/>
      <c r="C257" s="8"/>
      <c r="D257" s="8"/>
      <c r="E257" s="8"/>
      <c r="F257" s="8"/>
      <c r="G257" s="8"/>
      <c r="H257" s="8"/>
      <c r="J257" s="8"/>
      <c r="K257" s="8"/>
      <c r="M257" s="8"/>
      <c r="N257" s="8"/>
      <c r="O257" s="8"/>
      <c r="P257" s="8"/>
      <c r="Q257" s="687"/>
      <c r="R257" s="8"/>
      <c r="S257" s="8"/>
      <c r="T257" s="8"/>
      <c r="U257" s="8"/>
      <c r="V257" s="8"/>
      <c r="W257" s="8"/>
      <c r="X257" s="8"/>
    </row>
    <row r="258" spans="1:24" hidden="1" x14ac:dyDescent="0.2">
      <c r="A258" s="8"/>
      <c r="B258" s="8"/>
      <c r="C258" s="8"/>
      <c r="D258" s="8"/>
      <c r="E258" s="8"/>
      <c r="F258" s="8"/>
      <c r="G258" s="8"/>
      <c r="H258" s="8"/>
      <c r="J258" s="8"/>
      <c r="K258" s="8"/>
      <c r="M258" s="8"/>
      <c r="N258" s="8"/>
      <c r="O258" s="8"/>
      <c r="P258" s="8"/>
      <c r="Q258" s="687"/>
      <c r="R258" s="8"/>
      <c r="S258" s="8"/>
      <c r="T258" s="8"/>
      <c r="U258" s="8"/>
      <c r="V258" s="8"/>
      <c r="W258" s="8"/>
      <c r="X258" s="8"/>
    </row>
    <row r="259" spans="1:24" hidden="1" x14ac:dyDescent="0.2">
      <c r="A259" s="8"/>
      <c r="B259" s="8"/>
      <c r="C259" s="8"/>
      <c r="D259" s="8"/>
      <c r="E259" s="8"/>
      <c r="F259" s="8"/>
      <c r="G259" s="8"/>
      <c r="H259" s="8"/>
      <c r="J259" s="8"/>
      <c r="K259" s="8"/>
      <c r="M259" s="8"/>
      <c r="N259" s="8"/>
      <c r="O259" s="8"/>
      <c r="P259" s="8"/>
      <c r="Q259" s="687"/>
      <c r="R259" s="8"/>
      <c r="S259" s="8"/>
      <c r="T259" s="8"/>
      <c r="U259" s="8"/>
      <c r="V259" s="8"/>
      <c r="W259" s="8"/>
      <c r="X259" s="8"/>
    </row>
    <row r="260" spans="1:24" hidden="1" x14ac:dyDescent="0.2">
      <c r="A260" s="8"/>
      <c r="B260" s="8"/>
      <c r="C260" s="8"/>
      <c r="D260" s="8"/>
      <c r="E260" s="8"/>
      <c r="F260" s="8"/>
      <c r="G260" s="8"/>
      <c r="H260" s="8"/>
      <c r="J260" s="8"/>
      <c r="K260" s="8"/>
      <c r="M260" s="8"/>
      <c r="N260" s="8"/>
      <c r="O260" s="8"/>
      <c r="P260" s="8"/>
      <c r="Q260" s="687"/>
      <c r="R260" s="8"/>
      <c r="S260" s="8"/>
      <c r="T260" s="8"/>
      <c r="U260" s="8"/>
      <c r="V260" s="8"/>
      <c r="W260" s="8"/>
      <c r="X260" s="8"/>
    </row>
  </sheetData>
  <sheetProtection password="BD29" sheet="1" objects="1" scenarios="1"/>
  <mergeCells count="185">
    <mergeCell ref="C167:H167"/>
    <mergeCell ref="C166:H166"/>
    <mergeCell ref="C123:H123"/>
    <mergeCell ref="C111:H111"/>
    <mergeCell ref="C103:N105"/>
    <mergeCell ref="C110:H110"/>
    <mergeCell ref="C162:H162"/>
    <mergeCell ref="C131:H131"/>
    <mergeCell ref="C164:H164"/>
    <mergeCell ref="F144:H144"/>
    <mergeCell ref="F143:H143"/>
    <mergeCell ref="C161:H161"/>
    <mergeCell ref="F142:H142"/>
    <mergeCell ref="F141:H141"/>
    <mergeCell ref="C141:E142"/>
    <mergeCell ref="C140:H140"/>
    <mergeCell ref="C134:J134"/>
    <mergeCell ref="C133:H133"/>
    <mergeCell ref="C130:H130"/>
    <mergeCell ref="C132:H132"/>
    <mergeCell ref="C126:H126"/>
    <mergeCell ref="C113:H113"/>
    <mergeCell ref="C125:H125"/>
    <mergeCell ref="C116:N118"/>
    <mergeCell ref="D222:F222"/>
    <mergeCell ref="C150:H150"/>
    <mergeCell ref="C209:N211"/>
    <mergeCell ref="D242:H242"/>
    <mergeCell ref="C234:C237"/>
    <mergeCell ref="D234:H234"/>
    <mergeCell ref="D235:H235"/>
    <mergeCell ref="D236:H236"/>
    <mergeCell ref="D237:H237"/>
    <mergeCell ref="G219:H219"/>
    <mergeCell ref="G220:H220"/>
    <mergeCell ref="C233:J233"/>
    <mergeCell ref="C228:N230"/>
    <mergeCell ref="G218:H218"/>
    <mergeCell ref="C219:C220"/>
    <mergeCell ref="C221:C222"/>
    <mergeCell ref="G221:H221"/>
    <mergeCell ref="D217:F217"/>
    <mergeCell ref="C217:C218"/>
    <mergeCell ref="D218:F218"/>
    <mergeCell ref="C163:H163"/>
    <mergeCell ref="D219:F219"/>
    <mergeCell ref="G216:H216"/>
    <mergeCell ref="C205:H205"/>
    <mergeCell ref="B171:B173"/>
    <mergeCell ref="B136:B138"/>
    <mergeCell ref="C124:H124"/>
    <mergeCell ref="C143:E144"/>
    <mergeCell ref="D246:H246"/>
    <mergeCell ref="C246:C247"/>
    <mergeCell ref="C241:C242"/>
    <mergeCell ref="D247:H247"/>
    <mergeCell ref="D241:H241"/>
    <mergeCell ref="B228:B230"/>
    <mergeCell ref="G224:H224"/>
    <mergeCell ref="C198:H198"/>
    <mergeCell ref="C200:H200"/>
    <mergeCell ref="B209:B211"/>
    <mergeCell ref="G223:H223"/>
    <mergeCell ref="G222:H222"/>
    <mergeCell ref="G217:H217"/>
    <mergeCell ref="D224:F224"/>
    <mergeCell ref="D215:F215"/>
    <mergeCell ref="C223:C224"/>
    <mergeCell ref="D223:F223"/>
    <mergeCell ref="D221:F221"/>
    <mergeCell ref="D216:F216"/>
    <mergeCell ref="D220:F220"/>
    <mergeCell ref="G215:H215"/>
    <mergeCell ref="C215:C216"/>
    <mergeCell ref="C190:H190"/>
    <mergeCell ref="C201:H201"/>
    <mergeCell ref="C204:H204"/>
    <mergeCell ref="C196:H196"/>
    <mergeCell ref="C168:H168"/>
    <mergeCell ref="C184:H184"/>
    <mergeCell ref="C180:H180"/>
    <mergeCell ref="C174:J174"/>
    <mergeCell ref="C195:J195"/>
    <mergeCell ref="C212:J212"/>
    <mergeCell ref="C199:H199"/>
    <mergeCell ref="C202:H202"/>
    <mergeCell ref="C203:H203"/>
    <mergeCell ref="D13:F13"/>
    <mergeCell ref="B22:B24"/>
    <mergeCell ref="D18:N18"/>
    <mergeCell ref="C22:N24"/>
    <mergeCell ref="F91:H91"/>
    <mergeCell ref="F90:H90"/>
    <mergeCell ref="C26:N28"/>
    <mergeCell ref="C34:N36"/>
    <mergeCell ref="C58:N60"/>
    <mergeCell ref="C54:J55"/>
    <mergeCell ref="C50:N52"/>
    <mergeCell ref="K32:N33"/>
    <mergeCell ref="K40:N41"/>
    <mergeCell ref="K48:N49"/>
    <mergeCell ref="C42:N44"/>
    <mergeCell ref="C46:J47"/>
    <mergeCell ref="C38:J39"/>
    <mergeCell ref="C30:J31"/>
    <mergeCell ref="D67:J67"/>
    <mergeCell ref="D68:J68"/>
    <mergeCell ref="D69:J69"/>
    <mergeCell ref="C88:H88"/>
    <mergeCell ref="C84:H84"/>
    <mergeCell ref="C79:H79"/>
    <mergeCell ref="C99:E100"/>
    <mergeCell ref="C112:H112"/>
    <mergeCell ref="C97:E98"/>
    <mergeCell ref="B103:B105"/>
    <mergeCell ref="C82:E83"/>
    <mergeCell ref="F82:H82"/>
    <mergeCell ref="C93:H93"/>
    <mergeCell ref="F92:H92"/>
    <mergeCell ref="C91:E92"/>
    <mergeCell ref="F89:H89"/>
    <mergeCell ref="F98:H98"/>
    <mergeCell ref="F99:H99"/>
    <mergeCell ref="F97:H97"/>
    <mergeCell ref="F100:H100"/>
    <mergeCell ref="F83:H83"/>
    <mergeCell ref="C62:J62"/>
    <mergeCell ref="C63:J63"/>
    <mergeCell ref="C64:J64"/>
    <mergeCell ref="D70:J70"/>
    <mergeCell ref="K71:N71"/>
    <mergeCell ref="M69:N69"/>
    <mergeCell ref="B26:B28"/>
    <mergeCell ref="B58:B60"/>
    <mergeCell ref="B42:B44"/>
    <mergeCell ref="B50:B52"/>
    <mergeCell ref="B34:B36"/>
    <mergeCell ref="J11:N11"/>
    <mergeCell ref="B192:B194"/>
    <mergeCell ref="C185:H185"/>
    <mergeCell ref="C178:H178"/>
    <mergeCell ref="C187:H187"/>
    <mergeCell ref="C179:H179"/>
    <mergeCell ref="C186:H186"/>
    <mergeCell ref="C181:H181"/>
    <mergeCell ref="B73:B75"/>
    <mergeCell ref="C73:N75"/>
    <mergeCell ref="C80:E81"/>
    <mergeCell ref="F81:H81"/>
    <mergeCell ref="F80:H80"/>
    <mergeCell ref="C157:H157"/>
    <mergeCell ref="C160:H160"/>
    <mergeCell ref="C159:H159"/>
    <mergeCell ref="B153:B155"/>
    <mergeCell ref="C153:N155"/>
    <mergeCell ref="C136:N138"/>
    <mergeCell ref="C171:N173"/>
    <mergeCell ref="C192:N194"/>
    <mergeCell ref="B116:B118"/>
    <mergeCell ref="C89:E90"/>
    <mergeCell ref="K56:N57"/>
    <mergeCell ref="C226:H226"/>
    <mergeCell ref="G11:H11"/>
    <mergeCell ref="B2:N2"/>
    <mergeCell ref="C213:H213"/>
    <mergeCell ref="H13:H14"/>
    <mergeCell ref="K13:N13"/>
    <mergeCell ref="K14:N14"/>
    <mergeCell ref="D16:N16"/>
    <mergeCell ref="C109:H109"/>
    <mergeCell ref="C77:L77"/>
    <mergeCell ref="C86:L86"/>
    <mergeCell ref="C95:L95"/>
    <mergeCell ref="C107:L107"/>
    <mergeCell ref="C122:J122"/>
    <mergeCell ref="C129:J129"/>
    <mergeCell ref="C120:L120"/>
    <mergeCell ref="C177:J177"/>
    <mergeCell ref="C183:J183"/>
    <mergeCell ref="C175:H175"/>
    <mergeCell ref="B5:N5"/>
    <mergeCell ref="D11:F11"/>
    <mergeCell ref="B7:B9"/>
    <mergeCell ref="C7:N9"/>
    <mergeCell ref="D20:N20"/>
  </mergeCells>
  <phoneticPr fontId="2" type="noConversion"/>
  <conditionalFormatting sqref="I45">
    <cfRule type="cellIs" dxfId="206" priority="140" stopIfTrue="1" operator="equal">
      <formula>""""""</formula>
    </cfRule>
    <cfRule type="cellIs" dxfId="205" priority="141" stopIfTrue="1" operator="notEqual">
      <formula>""</formula>
    </cfRule>
  </conditionalFormatting>
  <conditionalFormatting sqref="N226">
    <cfRule type="expression" priority="41" stopIfTrue="1">
      <formula>$U$224=""</formula>
    </cfRule>
    <cfRule type="expression" dxfId="204" priority="42" stopIfTrue="1">
      <formula>$U$224&gt;=1</formula>
    </cfRule>
    <cfRule type="expression" dxfId="203" priority="43" stopIfTrue="1">
      <formula>AND($U$224&gt;=0.26,$U$224&lt;0.999)</formula>
    </cfRule>
    <cfRule type="expression" dxfId="202" priority="44" stopIfTrue="1">
      <formula>AND($U$224&lt;0.26,$U$224&gt;0.0999)</formula>
    </cfRule>
    <cfRule type="expression" dxfId="201" priority="45" stopIfTrue="1">
      <formula>$U$224&lt;=0.0999</formula>
    </cfRule>
  </conditionalFormatting>
  <conditionalFormatting sqref="N249">
    <cfRule type="expression" priority="36" stopIfTrue="1">
      <formula>$U$247=""</formula>
    </cfRule>
    <cfRule type="expression" dxfId="200" priority="37" stopIfTrue="1">
      <formula>$U$247&gt;=1</formula>
    </cfRule>
    <cfRule type="expression" dxfId="199" priority="38" stopIfTrue="1">
      <formula>AND($U$247&gt;=0.26,$U$247&lt;0.999)</formula>
    </cfRule>
    <cfRule type="expression" dxfId="198" priority="39" stopIfTrue="1">
      <formula>AND($U$247&lt;0.26,$U$247&gt;0.0999)</formula>
    </cfRule>
    <cfRule type="expression" dxfId="197" priority="40" stopIfTrue="1">
      <formula>$U$247&lt;=0.0999</formula>
    </cfRule>
  </conditionalFormatting>
  <conditionalFormatting sqref="N207">
    <cfRule type="expression" priority="31" stopIfTrue="1">
      <formula>$U$205=""</formula>
    </cfRule>
    <cfRule type="expression" dxfId="196" priority="32" stopIfTrue="1">
      <formula>$U$205&gt;=1</formula>
    </cfRule>
    <cfRule type="expression" dxfId="195" priority="33" stopIfTrue="1">
      <formula>AND($U$205&gt;=0.26,$U$205&lt;0.999)</formula>
    </cfRule>
    <cfRule type="expression" dxfId="194" priority="34" stopIfTrue="1">
      <formula>AND($U$205&lt;0.26,$U$205&gt;0.0999)</formula>
    </cfRule>
    <cfRule type="expression" dxfId="193" priority="35" stopIfTrue="1">
      <formula>$U$205&lt;=0.0999</formula>
    </cfRule>
  </conditionalFormatting>
  <conditionalFormatting sqref="N190">
    <cfRule type="expression" priority="26" stopIfTrue="1">
      <formula>$U$190=""</formula>
    </cfRule>
    <cfRule type="expression" dxfId="192" priority="27" stopIfTrue="1">
      <formula>$U$190&gt;=1</formula>
    </cfRule>
    <cfRule type="expression" dxfId="191" priority="28" stopIfTrue="1">
      <formula>AND($U$190&gt;=0.26,$U$190&lt;0.999)</formula>
    </cfRule>
    <cfRule type="expression" dxfId="190" priority="29" stopIfTrue="1">
      <formula>AND($U$190&lt;0.26,$U$190&gt;0.0999)</formula>
    </cfRule>
    <cfRule type="expression" dxfId="189" priority="30" stopIfTrue="1">
      <formula>$U$190&lt;=0.0999</formula>
    </cfRule>
  </conditionalFormatting>
  <conditionalFormatting sqref="N169">
    <cfRule type="expression" priority="21" stopIfTrue="1">
      <formula>$U$169=""</formula>
    </cfRule>
    <cfRule type="expression" dxfId="188" priority="22" stopIfTrue="1">
      <formula>$U$169&gt;=1</formula>
    </cfRule>
    <cfRule type="expression" dxfId="187" priority="23" stopIfTrue="1">
      <formula>AND($U$169&gt;=0.26,$U$169&lt;0.999)</formula>
    </cfRule>
    <cfRule type="expression" dxfId="186" priority="24" stopIfTrue="1">
      <formula>AND($U$169&lt;0.26,$U$169&gt;0.0999)</formula>
    </cfRule>
    <cfRule type="expression" dxfId="185" priority="25" stopIfTrue="1">
      <formula>$U$169&lt;=0.0999</formula>
    </cfRule>
  </conditionalFormatting>
  <conditionalFormatting sqref="N151">
    <cfRule type="expression" priority="16" stopIfTrue="1">
      <formula>$U$151=""</formula>
    </cfRule>
    <cfRule type="expression" dxfId="184" priority="17" stopIfTrue="1">
      <formula>$U$151&gt;=1</formula>
    </cfRule>
    <cfRule type="expression" dxfId="183" priority="18" stopIfTrue="1">
      <formula>AND($U$151&gt;=0.26,$U$151&lt;0.999)</formula>
    </cfRule>
    <cfRule type="expression" dxfId="182" priority="19" stopIfTrue="1">
      <formula>AND($U$151&lt;0.26,$U$151&gt;0.0999)</formula>
    </cfRule>
    <cfRule type="expression" dxfId="181" priority="20" stopIfTrue="1">
      <formula>$U$151&lt;=0.0999</formula>
    </cfRule>
  </conditionalFormatting>
  <conditionalFormatting sqref="N134">
    <cfRule type="expression" priority="11" stopIfTrue="1">
      <formula>$U$134=""</formula>
    </cfRule>
    <cfRule type="expression" dxfId="180" priority="12" stopIfTrue="1">
      <formula>$U$134&gt;=0.999</formula>
    </cfRule>
    <cfRule type="expression" dxfId="179" priority="13" stopIfTrue="1">
      <formula>AND($U$134&gt;=0.26,$U$134&lt;0.999)</formula>
    </cfRule>
    <cfRule type="expression" dxfId="178" priority="14" stopIfTrue="1">
      <formula>AND($U$134&lt;0.26,$U$134&gt;0.099)</formula>
    </cfRule>
    <cfRule type="expression" dxfId="177" priority="15" stopIfTrue="1">
      <formula>$U$134&lt;=0.0999</formula>
    </cfRule>
  </conditionalFormatting>
  <conditionalFormatting sqref="N114">
    <cfRule type="expression" priority="6" stopIfTrue="1">
      <formula>$U$114=""</formula>
    </cfRule>
    <cfRule type="expression" dxfId="176" priority="7" stopIfTrue="1">
      <formula>$U$114=1</formula>
    </cfRule>
    <cfRule type="expression" dxfId="175" priority="8" stopIfTrue="1">
      <formula>AND($U$114&gt;=0.26,$U$114&lt;0.999)</formula>
    </cfRule>
    <cfRule type="expression" dxfId="174" priority="9" stopIfTrue="1">
      <formula>AND($U$114&lt;0.26,$U$114&gt;0.0999)</formula>
    </cfRule>
    <cfRule type="expression" dxfId="173" priority="10" stopIfTrue="1">
      <formula>$U$114&lt;=0.0999</formula>
    </cfRule>
  </conditionalFormatting>
  <conditionalFormatting sqref="N101">
    <cfRule type="expression" priority="1" stopIfTrue="1">
      <formula>$U$101=""</formula>
    </cfRule>
    <cfRule type="expression" dxfId="172" priority="2" stopIfTrue="1">
      <formula>$U$101=1</formula>
    </cfRule>
    <cfRule type="expression" dxfId="171" priority="3" stopIfTrue="1">
      <formula>AND($U$101&gt;=0.26,$U$101&lt;0.9999)</formula>
    </cfRule>
    <cfRule type="expression" dxfId="170" priority="4" stopIfTrue="1">
      <formula>AND($U$101&lt;0.26,$U$101&gt;0.099)</formula>
    </cfRule>
    <cfRule type="expression" dxfId="169" priority="5" stopIfTrue="1">
      <formula>$U$101&lt;=0.0999</formula>
    </cfRule>
  </conditionalFormatting>
  <pageMargins left="0.47" right="3.937007874015748E-2" top="0.12" bottom="3.937007874015748E-2" header="0.12" footer="3.937007874015748E-2"/>
  <pageSetup scale="48" orientation="portrait" horizontalDpi="300" verticalDpi="300" r:id="rId1"/>
  <headerFooter alignWithMargins="0"/>
  <rowBreaks count="3" manualBreakCount="3">
    <brk id="72" min="1" max="14" man="1"/>
    <brk id="152" min="1" max="14" man="1"/>
    <brk id="19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1"/>
  <sheetViews>
    <sheetView topLeftCell="A71" zoomScale="58" zoomScaleNormal="58" zoomScaleSheetLayoutView="65" workbookViewId="0">
      <selection activeCell="K80" sqref="K80:K81"/>
    </sheetView>
  </sheetViews>
  <sheetFormatPr defaultColWidth="0" defaultRowHeight="12.75" zeroHeight="1" x14ac:dyDescent="0.2"/>
  <cols>
    <col min="1" max="1" width="4.7109375" style="7" customWidth="1"/>
    <col min="2" max="2" width="7.42578125" style="7" customWidth="1"/>
    <col min="3" max="3" width="23.5703125" style="7" customWidth="1"/>
    <col min="4" max="4" width="17.85546875" style="7" customWidth="1"/>
    <col min="5" max="5" width="12.42578125" style="7" customWidth="1"/>
    <col min="6" max="6" width="11.42578125" style="7" customWidth="1"/>
    <col min="7" max="7" width="17.42578125" style="7" customWidth="1"/>
    <col min="8" max="8" width="13.42578125" style="7" customWidth="1"/>
    <col min="9" max="9" width="12.5703125" style="8" customWidth="1"/>
    <col min="10" max="11" width="10.7109375" style="7" customWidth="1"/>
    <col min="12" max="12" width="9.85546875" style="8" customWidth="1"/>
    <col min="13" max="14" width="10.7109375" style="7" customWidth="1"/>
    <col min="15" max="15" width="8.28515625" style="8" customWidth="1"/>
    <col min="16" max="16" width="10.140625" style="7" customWidth="1"/>
    <col min="17" max="17" width="4.7109375" style="7" customWidth="1"/>
    <col min="18" max="18" width="12" style="7" hidden="1" customWidth="1"/>
    <col min="19" max="19" width="13.140625" style="7" hidden="1" customWidth="1"/>
    <col min="20" max="20" width="10" style="7" hidden="1" customWidth="1"/>
    <col min="21" max="22" width="10.140625" style="7" hidden="1" customWidth="1"/>
    <col min="23" max="23" width="18.140625" style="7" hidden="1" customWidth="1"/>
    <col min="24" max="24" width="18.28515625" style="7" hidden="1" customWidth="1"/>
    <col min="25" max="26" width="10.7109375" style="7" hidden="1" customWidth="1"/>
    <col min="27" max="27" width="10.140625" style="7" hidden="1" customWidth="1"/>
    <col min="28" max="28" width="8.85546875" style="7" hidden="1" customWidth="1"/>
    <col min="29" max="29" width="29.7109375" style="7" hidden="1" customWidth="1"/>
    <col min="30" max="34" width="6.7109375" style="7" hidden="1" customWidth="1"/>
    <col min="35" max="35" width="8.85546875" style="7" hidden="1" customWidth="1"/>
    <col min="36" max="36" width="7.42578125" style="7" hidden="1" customWidth="1"/>
    <col min="37" max="37" width="6" style="7" hidden="1" customWidth="1"/>
    <col min="38" max="38" width="6.42578125" style="7" hidden="1" customWidth="1"/>
    <col min="39" max="39" width="27.42578125" style="7" hidden="1" customWidth="1"/>
    <col min="40" max="58" width="0" style="7" hidden="1" customWidth="1"/>
    <col min="59" max="16384" width="8.85546875" style="7" hidden="1"/>
  </cols>
  <sheetData>
    <row r="1" spans="1:35" ht="21.75" customHeight="1" x14ac:dyDescent="0.2">
      <c r="A1" s="367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</row>
    <row r="2" spans="1:35" ht="116.25" customHeight="1" x14ac:dyDescent="0.2">
      <c r="A2" s="341"/>
      <c r="B2" s="880" t="s">
        <v>505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370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</row>
    <row r="3" spans="1:35" ht="22.5" customHeight="1" x14ac:dyDescent="0.25">
      <c r="A3" s="341"/>
      <c r="B3" s="36"/>
      <c r="C3" s="172"/>
      <c r="D3" s="124"/>
      <c r="E3" s="124"/>
      <c r="F3" s="124"/>
      <c r="G3" s="124"/>
      <c r="H3" s="36"/>
      <c r="I3" s="36"/>
      <c r="J3" s="36"/>
      <c r="K3" s="36"/>
      <c r="L3" s="36"/>
      <c r="M3" s="36"/>
      <c r="N3" s="36"/>
      <c r="O3" s="36"/>
      <c r="P3" s="36"/>
      <c r="Q3" s="370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</row>
    <row r="4" spans="1:35" ht="27" customHeight="1" x14ac:dyDescent="0.2">
      <c r="A4" s="341"/>
      <c r="B4" s="904" t="s">
        <v>66</v>
      </c>
      <c r="C4" s="908"/>
      <c r="D4" s="881" t="str">
        <f>IF('HAZARDS-GEN'!D11="","",'HAZARDS-GEN'!D11)</f>
        <v>xxxxxxxx</v>
      </c>
      <c r="E4" s="882"/>
      <c r="F4" s="883"/>
      <c r="G4" s="36"/>
      <c r="H4" s="36"/>
      <c r="I4" s="36"/>
      <c r="J4" s="904" t="s">
        <v>59</v>
      </c>
      <c r="K4" s="904"/>
      <c r="L4" s="881" t="str">
        <f>IF('HAZARDS-GEN'!$J$11="","",'HAZARDS-GEN'!$J$11)</f>
        <v>xxxxxxxxxxxx</v>
      </c>
      <c r="M4" s="882"/>
      <c r="N4" s="882"/>
      <c r="O4" s="882"/>
      <c r="P4" s="883"/>
      <c r="Q4" s="370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1:35" ht="10.5" customHeight="1" x14ac:dyDescent="0.25">
      <c r="A5" s="341"/>
      <c r="B5" s="36"/>
      <c r="C5" s="342"/>
      <c r="D5" s="39"/>
      <c r="E5" s="39"/>
      <c r="F5" s="39"/>
      <c r="G5" s="40"/>
      <c r="H5" s="36"/>
      <c r="I5" s="36"/>
      <c r="J5" s="39"/>
      <c r="K5" s="41"/>
      <c r="L5" s="42"/>
      <c r="M5" s="43"/>
      <c r="N5" s="43"/>
      <c r="O5" s="43"/>
      <c r="P5" s="43"/>
      <c r="Q5" s="370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</row>
    <row r="6" spans="1:35" ht="27.75" customHeight="1" x14ac:dyDescent="0.2">
      <c r="A6" s="341"/>
      <c r="B6" s="904" t="s">
        <v>112</v>
      </c>
      <c r="C6" s="908"/>
      <c r="D6" s="881" t="str">
        <f>IF('HAZARDS-GEN'!D13="","",'HAZARDS-GEN'!D13)</f>
        <v>xxxxxxxxxxxx</v>
      </c>
      <c r="E6" s="882"/>
      <c r="F6" s="883"/>
      <c r="G6" s="36"/>
      <c r="H6" s="36"/>
      <c r="I6" s="36"/>
      <c r="J6" s="905" t="s">
        <v>287</v>
      </c>
      <c r="K6" s="905"/>
      <c r="L6" s="182" t="s">
        <v>243</v>
      </c>
      <c r="M6" s="886" t="str">
        <f>IF('HAZARDS-GEN'!K13="","",'HAZARDS-GEN'!K13)</f>
        <v/>
      </c>
      <c r="N6" s="887"/>
      <c r="O6" s="887"/>
      <c r="P6" s="888"/>
      <c r="Q6" s="370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</row>
    <row r="7" spans="1:35" ht="28.5" customHeight="1" x14ac:dyDescent="0.2">
      <c r="A7" s="341"/>
      <c r="B7" s="36"/>
      <c r="C7" s="51"/>
      <c r="D7" s="40"/>
      <c r="E7" s="40"/>
      <c r="F7" s="40"/>
      <c r="G7" s="46"/>
      <c r="H7" s="36"/>
      <c r="I7" s="36"/>
      <c r="J7" s="905"/>
      <c r="K7" s="905"/>
      <c r="L7" s="182" t="s">
        <v>244</v>
      </c>
      <c r="M7" s="881" t="str">
        <f>IF('HAZARDS-GEN'!K14="","",'HAZARDS-GEN'!K14)</f>
        <v/>
      </c>
      <c r="N7" s="882"/>
      <c r="O7" s="882"/>
      <c r="P7" s="883"/>
      <c r="Q7" s="370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</row>
    <row r="8" spans="1:35" ht="18.75" customHeight="1" x14ac:dyDescent="0.2">
      <c r="A8" s="341"/>
      <c r="B8" s="36"/>
      <c r="C8" s="51"/>
      <c r="D8" s="54"/>
      <c r="E8" s="54"/>
      <c r="F8" s="54"/>
      <c r="G8" s="51"/>
      <c r="H8" s="51"/>
      <c r="I8" s="54"/>
      <c r="J8" s="54"/>
      <c r="K8" s="54"/>
      <c r="L8" s="54"/>
      <c r="M8" s="54"/>
      <c r="N8" s="54"/>
      <c r="O8" s="54"/>
      <c r="P8" s="54"/>
      <c r="Q8" s="370"/>
      <c r="S8" s="372"/>
      <c r="T8" s="372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</row>
    <row r="9" spans="1:35" s="8" customFormat="1" ht="44.1" customHeight="1" x14ac:dyDescent="0.2">
      <c r="A9" s="341"/>
      <c r="B9" s="757" t="s">
        <v>267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9"/>
      <c r="Q9" s="370"/>
      <c r="R9" s="7"/>
      <c r="S9" s="372"/>
      <c r="T9" s="372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</row>
    <row r="10" spans="1:35" ht="22.5" customHeight="1" x14ac:dyDescent="0.2">
      <c r="A10" s="341"/>
      <c r="B10" s="17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373"/>
      <c r="R10" s="374"/>
      <c r="S10" s="375"/>
      <c r="T10" s="376"/>
      <c r="U10" s="371"/>
      <c r="V10" s="371"/>
      <c r="W10" s="371"/>
      <c r="X10" s="371"/>
      <c r="Y10" s="371"/>
      <c r="Z10" s="371"/>
      <c r="AA10" s="371"/>
      <c r="AB10" s="371"/>
      <c r="AC10" s="377"/>
      <c r="AD10" s="377"/>
      <c r="AE10" s="377"/>
      <c r="AF10" s="377"/>
      <c r="AG10" s="377"/>
      <c r="AH10" s="378"/>
      <c r="AI10" s="378"/>
    </row>
    <row r="11" spans="1:35" ht="33.75" customHeight="1" x14ac:dyDescent="0.2">
      <c r="A11" s="341"/>
      <c r="B11" s="481" t="s">
        <v>14</v>
      </c>
      <c r="C11" s="909" t="s">
        <v>407</v>
      </c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373"/>
      <c r="R11" s="374"/>
      <c r="S11" s="375"/>
      <c r="T11" s="376"/>
      <c r="U11" s="371"/>
      <c r="V11" s="371"/>
      <c r="W11" s="371"/>
      <c r="X11" s="371"/>
      <c r="Y11" s="371"/>
      <c r="Z11" s="371"/>
      <c r="AA11" s="371"/>
      <c r="AB11" s="371"/>
      <c r="AC11" s="377"/>
      <c r="AD11" s="377"/>
      <c r="AE11" s="377"/>
      <c r="AF11" s="377"/>
      <c r="AG11" s="377"/>
      <c r="AH11" s="378"/>
      <c r="AI11" s="378"/>
    </row>
    <row r="12" spans="1:35" s="8" customFormat="1" ht="7.5" customHeight="1" x14ac:dyDescent="0.2">
      <c r="A12" s="341"/>
      <c r="B12" s="173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36"/>
      <c r="N12" s="36"/>
      <c r="O12" s="127"/>
      <c r="P12" s="127"/>
      <c r="Q12" s="370"/>
      <c r="R12" s="374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</row>
    <row r="13" spans="1:35" ht="26.25" customHeight="1" x14ac:dyDescent="0.2">
      <c r="A13" s="341"/>
      <c r="B13" s="36"/>
      <c r="C13" s="913" t="s">
        <v>408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36"/>
      <c r="P13" s="911" t="str">
        <f>IF('HAZARDS-GEN'!L30&lt;&gt;"","YES","NO")</f>
        <v>NO</v>
      </c>
      <c r="Q13" s="370"/>
      <c r="R13" s="379">
        <f>IF(P13="YES",1,0)</f>
        <v>0</v>
      </c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</row>
    <row r="14" spans="1:35" ht="26.25" customHeight="1" x14ac:dyDescent="0.2">
      <c r="A14" s="341"/>
      <c r="B14" s="36"/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36"/>
      <c r="P14" s="912"/>
      <c r="Q14" s="370"/>
      <c r="R14" s="8"/>
      <c r="S14" s="8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</row>
    <row r="15" spans="1:35" x14ac:dyDescent="0.2">
      <c r="A15" s="3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0"/>
      <c r="R15" s="8"/>
      <c r="S15" s="8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</row>
    <row r="16" spans="1:35" ht="17.25" customHeight="1" x14ac:dyDescent="0.4">
      <c r="A16" s="341"/>
      <c r="B16" s="36"/>
      <c r="C16" s="884" t="str">
        <f>IF(R13=1,IF(S88=1,"","Please, proceed to answer these questions"),"Repetitive movements are not present. Skip this sheet")</f>
        <v>Repetitive movements are not present. Skip this sheet</v>
      </c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36"/>
      <c r="P16" s="36"/>
      <c r="Q16" s="370"/>
      <c r="R16" s="8"/>
      <c r="S16" s="8"/>
      <c r="T16" s="371"/>
      <c r="U16" s="371"/>
      <c r="V16" s="371"/>
      <c r="W16" s="380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</row>
    <row r="17" spans="1:58" ht="36" customHeight="1" x14ac:dyDescent="0.2">
      <c r="A17" s="341"/>
      <c r="B17" s="36"/>
      <c r="C17" s="885" t="s">
        <v>409</v>
      </c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381"/>
      <c r="P17" s="381"/>
      <c r="Q17" s="370"/>
      <c r="R17" s="8"/>
      <c r="S17" s="8"/>
      <c r="T17" s="371"/>
      <c r="U17" s="371"/>
      <c r="V17" s="371"/>
      <c r="W17" s="371"/>
      <c r="X17" s="357"/>
      <c r="Y17" s="357"/>
      <c r="Z17" s="371"/>
      <c r="AA17" s="371"/>
      <c r="AB17" s="371"/>
      <c r="AC17" s="371"/>
      <c r="AD17" s="371"/>
      <c r="AE17" s="371"/>
      <c r="AF17" s="371"/>
      <c r="AG17" s="371"/>
    </row>
    <row r="18" spans="1:58" ht="14.1" customHeight="1" x14ac:dyDescent="0.2">
      <c r="A18" s="341"/>
      <c r="B18" s="36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81"/>
      <c r="P18" s="381"/>
      <c r="Q18" s="370"/>
      <c r="R18" s="8"/>
      <c r="S18" s="8"/>
      <c r="T18" s="371"/>
      <c r="U18" s="371"/>
      <c r="V18" s="371"/>
      <c r="W18" s="371"/>
      <c r="X18" s="357"/>
      <c r="Y18" s="357"/>
      <c r="Z18" s="371"/>
      <c r="AA18" s="371"/>
      <c r="AB18" s="371"/>
      <c r="AC18" s="371"/>
      <c r="AD18" s="371"/>
      <c r="AE18" s="371"/>
      <c r="AF18" s="371"/>
      <c r="AG18" s="371"/>
    </row>
    <row r="19" spans="1:58" s="8" customFormat="1" ht="47.25" customHeight="1" x14ac:dyDescent="0.2">
      <c r="A19" s="341"/>
      <c r="B19" s="36"/>
      <c r="C19" s="891" t="s">
        <v>67</v>
      </c>
      <c r="D19" s="897"/>
      <c r="E19" s="11"/>
      <c r="F19" s="37"/>
      <c r="G19" s="37"/>
      <c r="H19" s="37"/>
      <c r="I19" s="37"/>
      <c r="J19" s="289"/>
      <c r="K19" s="892" t="s">
        <v>469</v>
      </c>
      <c r="L19" s="892"/>
      <c r="M19" s="893"/>
      <c r="N19" s="482">
        <f>E19-I28-I26</f>
        <v>0</v>
      </c>
      <c r="O19" s="381"/>
      <c r="P19" s="381"/>
      <c r="Q19" s="370"/>
      <c r="T19" s="889" t="s">
        <v>419</v>
      </c>
      <c r="U19" s="889" t="s">
        <v>464</v>
      </c>
      <c r="W19" s="354">
        <f>IF((E19/60)-1-I30&lt;0,0,MROUND((E19/60)-1-I30,0.5))</f>
        <v>0</v>
      </c>
      <c r="X19" s="356" t="s">
        <v>463</v>
      </c>
      <c r="Y19" s="524" t="s">
        <v>465</v>
      </c>
      <c r="Z19" s="524" t="s">
        <v>467</v>
      </c>
      <c r="AC19" s="371"/>
      <c r="AD19" s="371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8" customFormat="1" ht="10.5" customHeight="1" x14ac:dyDescent="0.2">
      <c r="A20" s="341"/>
      <c r="B20" s="289"/>
      <c r="C20" s="289"/>
      <c r="D20" s="289"/>
      <c r="E20" s="289"/>
      <c r="F20" s="289"/>
      <c r="G20" s="289"/>
      <c r="H20" s="289"/>
      <c r="I20" s="289"/>
      <c r="J20" s="36"/>
      <c r="K20" s="36"/>
      <c r="L20" s="36"/>
      <c r="M20" s="382"/>
      <c r="N20" s="382"/>
      <c r="O20" s="382"/>
      <c r="P20" s="382"/>
      <c r="Q20" s="383"/>
      <c r="R20" s="384"/>
      <c r="T20" s="890"/>
      <c r="U20" s="890"/>
      <c r="X20" s="358"/>
      <c r="Y20" s="364">
        <v>0</v>
      </c>
      <c r="Z20" s="365">
        <v>1</v>
      </c>
      <c r="AC20" s="371"/>
      <c r="AD20" s="371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8" customFormat="1" ht="29.25" customHeight="1" x14ac:dyDescent="0.2">
      <c r="A21" s="341"/>
      <c r="B21" s="36"/>
      <c r="C21" s="385" t="s">
        <v>185</v>
      </c>
      <c r="D21" s="386"/>
      <c r="E21" s="386"/>
      <c r="F21" s="386"/>
      <c r="G21" s="386"/>
      <c r="H21" s="386"/>
      <c r="I21" s="387"/>
      <c r="J21" s="388"/>
      <c r="K21" s="388"/>
      <c r="L21" s="388"/>
      <c r="M21" s="388"/>
      <c r="N21" s="388"/>
      <c r="O21" s="388"/>
      <c r="P21" s="388"/>
      <c r="Q21" s="389"/>
      <c r="R21" s="355"/>
      <c r="T21" s="361">
        <v>0</v>
      </c>
      <c r="U21" s="361">
        <v>0.5</v>
      </c>
      <c r="W21" s="355"/>
      <c r="X21" s="357"/>
      <c r="Y21" s="364">
        <v>0.5</v>
      </c>
      <c r="Z21" s="365">
        <v>1.0249999999999999</v>
      </c>
      <c r="AC21" s="371"/>
      <c r="AD21" s="371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8" customFormat="1" ht="26.1" customHeight="1" x14ac:dyDescent="0.2">
      <c r="A22" s="341"/>
      <c r="B22" s="36"/>
      <c r="C22" s="907" t="s">
        <v>242</v>
      </c>
      <c r="D22" s="907"/>
      <c r="E22" s="907"/>
      <c r="F22" s="907"/>
      <c r="G22" s="907"/>
      <c r="H22" s="907"/>
      <c r="I22" s="468"/>
      <c r="J22" s="388"/>
      <c r="K22" s="388"/>
      <c r="L22" s="388"/>
      <c r="M22" s="388"/>
      <c r="N22" s="388"/>
      <c r="O22" s="388"/>
      <c r="P22" s="388"/>
      <c r="Q22" s="389"/>
      <c r="R22" s="355"/>
      <c r="T22" s="361">
        <v>121</v>
      </c>
      <c r="U22" s="361">
        <v>0.65</v>
      </c>
      <c r="W22" s="355"/>
      <c r="Y22" s="364">
        <v>1</v>
      </c>
      <c r="Z22" s="365">
        <v>1.05</v>
      </c>
      <c r="AC22" s="371"/>
      <c r="AD22" s="371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8" customFormat="1" ht="26.1" customHeight="1" x14ac:dyDescent="0.2">
      <c r="A23" s="341"/>
      <c r="B23" s="36"/>
      <c r="C23" s="907" t="s">
        <v>68</v>
      </c>
      <c r="D23" s="907"/>
      <c r="E23" s="907"/>
      <c r="F23" s="907"/>
      <c r="G23" s="907"/>
      <c r="H23" s="907"/>
      <c r="I23" s="469"/>
      <c r="J23" s="388"/>
      <c r="K23" s="388"/>
      <c r="L23" s="388"/>
      <c r="M23" s="388"/>
      <c r="N23" s="388"/>
      <c r="O23" s="388"/>
      <c r="P23" s="388"/>
      <c r="Q23" s="389"/>
      <c r="R23" s="355"/>
      <c r="T23" s="361">
        <v>181</v>
      </c>
      <c r="U23" s="361">
        <v>0.75</v>
      </c>
      <c r="W23" s="355"/>
      <c r="Y23" s="364">
        <v>1.5</v>
      </c>
      <c r="Z23" s="365">
        <v>1.0860000000000001</v>
      </c>
      <c r="AC23" s="371"/>
      <c r="AD23" s="371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8" customFormat="1" ht="26.1" customHeight="1" x14ac:dyDescent="0.2">
      <c r="A24" s="341"/>
      <c r="B24" s="36"/>
      <c r="C24" s="907" t="s">
        <v>69</v>
      </c>
      <c r="D24" s="907"/>
      <c r="E24" s="907"/>
      <c r="F24" s="907"/>
      <c r="G24" s="907"/>
      <c r="H24" s="907"/>
      <c r="I24" s="469"/>
      <c r="J24" s="177"/>
      <c r="K24" s="36"/>
      <c r="L24" s="36"/>
      <c r="M24" s="36"/>
      <c r="N24" s="36"/>
      <c r="O24" s="36"/>
      <c r="P24" s="36"/>
      <c r="Q24" s="370"/>
      <c r="T24" s="361">
        <v>241</v>
      </c>
      <c r="U24" s="361">
        <v>0.85</v>
      </c>
      <c r="W24" s="355"/>
      <c r="Y24" s="364">
        <v>2</v>
      </c>
      <c r="Z24" s="365">
        <v>1.1200000000000001</v>
      </c>
      <c r="AC24" s="371"/>
      <c r="AD24" s="371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8" customFormat="1" ht="14.1" customHeight="1" x14ac:dyDescent="0.2">
      <c r="A25" s="341"/>
      <c r="B25" s="36"/>
      <c r="C25" s="390"/>
      <c r="D25" s="391"/>
      <c r="E25" s="391"/>
      <c r="F25" s="391"/>
      <c r="G25" s="391"/>
      <c r="H25" s="391"/>
      <c r="I25" s="392"/>
      <c r="J25" s="177"/>
      <c r="K25" s="36"/>
      <c r="L25" s="36"/>
      <c r="M25" s="36"/>
      <c r="N25" s="36"/>
      <c r="O25" s="36"/>
      <c r="P25" s="36"/>
      <c r="Q25" s="370"/>
      <c r="T25" s="361">
        <v>301</v>
      </c>
      <c r="U25" s="361">
        <v>0.92500000000000004</v>
      </c>
      <c r="W25" s="355"/>
      <c r="Y25" s="364">
        <v>2.5</v>
      </c>
      <c r="Z25" s="365">
        <v>1.1599999999999999</v>
      </c>
      <c r="AC25" s="371"/>
      <c r="AD25" s="371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8" customFormat="1" ht="26.1" customHeight="1" x14ac:dyDescent="0.2">
      <c r="A26" s="341"/>
      <c r="B26" s="36"/>
      <c r="C26" s="891" t="s">
        <v>186</v>
      </c>
      <c r="D26" s="891"/>
      <c r="E26" s="891"/>
      <c r="F26" s="891"/>
      <c r="G26" s="891"/>
      <c r="H26" s="891"/>
      <c r="I26" s="482">
        <f>I22+I23+I24</f>
        <v>0</v>
      </c>
      <c r="J26" s="177"/>
      <c r="K26" s="393"/>
      <c r="L26" s="394"/>
      <c r="M26" s="394"/>
      <c r="N26" s="394"/>
      <c r="O26" s="394"/>
      <c r="P26" s="394"/>
      <c r="Q26" s="395"/>
      <c r="R26" s="396"/>
      <c r="T26" s="361">
        <v>361</v>
      </c>
      <c r="U26" s="361">
        <v>0.95</v>
      </c>
      <c r="W26" s="355"/>
      <c r="Y26" s="364">
        <v>3</v>
      </c>
      <c r="Z26" s="365">
        <v>1.2</v>
      </c>
      <c r="AC26" s="371"/>
      <c r="AD26" s="371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s="8" customFormat="1" ht="14.1" customHeight="1" x14ac:dyDescent="0.2">
      <c r="A27" s="341"/>
      <c r="B27" s="36"/>
      <c r="C27" s="390"/>
      <c r="D27" s="391"/>
      <c r="E27" s="391"/>
      <c r="F27" s="391"/>
      <c r="G27" s="391"/>
      <c r="H27" s="391"/>
      <c r="I27" s="392"/>
      <c r="J27" s="177"/>
      <c r="K27" s="36"/>
      <c r="L27" s="36"/>
      <c r="M27" s="36"/>
      <c r="N27" s="36"/>
      <c r="O27" s="36"/>
      <c r="P27" s="36"/>
      <c r="Q27" s="370"/>
      <c r="T27" s="362">
        <v>421</v>
      </c>
      <c r="U27" s="362">
        <v>1</v>
      </c>
      <c r="W27" s="355"/>
      <c r="Y27" s="364">
        <v>3.5</v>
      </c>
      <c r="Z27" s="365">
        <v>1.2649999999999999</v>
      </c>
      <c r="AC27" s="371"/>
      <c r="AD27" s="371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8" customFormat="1" ht="35.25" customHeight="1" x14ac:dyDescent="0.2">
      <c r="A28" s="341"/>
      <c r="B28" s="36"/>
      <c r="C28" s="891" t="s">
        <v>502</v>
      </c>
      <c r="D28" s="891"/>
      <c r="E28" s="891"/>
      <c r="F28" s="891"/>
      <c r="G28" s="891"/>
      <c r="H28" s="891"/>
      <c r="I28" s="5"/>
      <c r="J28" s="177"/>
      <c r="K28" s="393"/>
      <c r="L28" s="394"/>
      <c r="M28" s="394"/>
      <c r="N28" s="394"/>
      <c r="O28" s="394"/>
      <c r="P28" s="394"/>
      <c r="Q28" s="395"/>
      <c r="R28" s="396"/>
      <c r="S28" s="397" t="s">
        <v>466</v>
      </c>
      <c r="T28" s="362"/>
      <c r="U28" s="362"/>
      <c r="Y28" s="364">
        <v>4</v>
      </c>
      <c r="Z28" s="365">
        <v>1.33</v>
      </c>
      <c r="AC28" s="371"/>
      <c r="AD28" s="371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8" customFormat="1" ht="14.25" customHeight="1" x14ac:dyDescent="0.2">
      <c r="A29" s="341"/>
      <c r="B29" s="36"/>
      <c r="C29" s="390"/>
      <c r="D29" s="390"/>
      <c r="E29" s="390"/>
      <c r="F29" s="390"/>
      <c r="G29" s="390"/>
      <c r="H29" s="390"/>
      <c r="I29" s="108"/>
      <c r="J29" s="36"/>
      <c r="K29" s="36"/>
      <c r="L29" s="36"/>
      <c r="M29" s="36"/>
      <c r="N29" s="36"/>
      <c r="O29" s="36"/>
      <c r="P29" s="36"/>
      <c r="Q29" s="398"/>
      <c r="R29" s="399"/>
      <c r="S29" s="400">
        <f>LOOKUP(N19,$T$21:$T$29,$U$21:$U$29)</f>
        <v>0.5</v>
      </c>
      <c r="T29" s="363">
        <v>480</v>
      </c>
      <c r="U29" s="361">
        <v>1.5</v>
      </c>
      <c r="Y29" s="364">
        <v>4.5</v>
      </c>
      <c r="Z29" s="365">
        <v>1.4</v>
      </c>
    </row>
    <row r="30" spans="1:58" s="8" customFormat="1" ht="26.1" customHeight="1" x14ac:dyDescent="0.2">
      <c r="A30" s="341"/>
      <c r="B30" s="36"/>
      <c r="C30" s="891" t="s">
        <v>462</v>
      </c>
      <c r="D30" s="891"/>
      <c r="E30" s="891"/>
      <c r="F30" s="891"/>
      <c r="G30" s="891"/>
      <c r="H30" s="891"/>
      <c r="I30" s="5"/>
      <c r="J30" s="177"/>
      <c r="K30" s="393"/>
      <c r="L30" s="394"/>
      <c r="M30" s="394"/>
      <c r="N30" s="394"/>
      <c r="O30" s="394"/>
      <c r="P30" s="394"/>
      <c r="Q30" s="395"/>
      <c r="R30" s="396"/>
      <c r="S30" s="399"/>
      <c r="Y30" s="364">
        <v>5</v>
      </c>
      <c r="Z30" s="365">
        <v>1.48</v>
      </c>
    </row>
    <row r="31" spans="1:58" s="8" customFormat="1" ht="14.25" customHeight="1" x14ac:dyDescent="0.2">
      <c r="A31" s="341"/>
      <c r="B31" s="36"/>
      <c r="C31" s="390"/>
      <c r="D31" s="390"/>
      <c r="E31" s="390"/>
      <c r="F31" s="390"/>
      <c r="G31" s="390"/>
      <c r="H31" s="390"/>
      <c r="I31" s="353"/>
      <c r="J31" s="36"/>
      <c r="K31" s="36"/>
      <c r="L31" s="36"/>
      <c r="M31" s="36"/>
      <c r="N31" s="36"/>
      <c r="O31" s="36"/>
      <c r="P31" s="36"/>
      <c r="Q31" s="398"/>
      <c r="R31" s="399"/>
      <c r="S31" s="399"/>
      <c r="Y31" s="364">
        <v>5.5</v>
      </c>
      <c r="Z31" s="365">
        <v>1.58</v>
      </c>
    </row>
    <row r="32" spans="1:58" s="8" customFormat="1" ht="21" customHeight="1" x14ac:dyDescent="0.25">
      <c r="A32" s="341"/>
      <c r="B32" s="36"/>
      <c r="C32" s="906" t="s">
        <v>468</v>
      </c>
      <c r="D32" s="906"/>
      <c r="E32" s="906"/>
      <c r="F32" s="906"/>
      <c r="G32" s="906"/>
      <c r="H32" s="906"/>
      <c r="I32" s="906"/>
      <c r="J32" s="401"/>
      <c r="K32" s="401"/>
      <c r="L32" s="401"/>
      <c r="M32" s="401"/>
      <c r="N32" s="401"/>
      <c r="O32" s="402"/>
      <c r="P32" s="402"/>
      <c r="Q32" s="398"/>
      <c r="R32" s="399"/>
      <c r="S32" s="399"/>
      <c r="Y32" s="364">
        <v>6</v>
      </c>
      <c r="Z32" s="365">
        <v>1.7</v>
      </c>
    </row>
    <row r="33" spans="1:38" s="8" customFormat="1" ht="12.75" customHeight="1" x14ac:dyDescent="0.2">
      <c r="A33" s="341"/>
      <c r="B33" s="36"/>
      <c r="C33" s="898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900"/>
      <c r="O33" s="403"/>
      <c r="P33" s="403"/>
      <c r="Q33" s="398"/>
      <c r="R33" s="399"/>
      <c r="S33" s="399"/>
      <c r="T33" s="399"/>
      <c r="Y33" s="364">
        <v>6.5</v>
      </c>
      <c r="Z33" s="365">
        <v>1.83</v>
      </c>
    </row>
    <row r="34" spans="1:38" s="8" customFormat="1" ht="41.25" customHeight="1" x14ac:dyDescent="0.25">
      <c r="A34" s="341"/>
      <c r="B34" s="36"/>
      <c r="C34" s="901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3"/>
      <c r="O34" s="403"/>
      <c r="P34" s="403"/>
      <c r="Q34" s="398"/>
      <c r="R34" s="399"/>
      <c r="S34" s="399"/>
      <c r="T34" s="399"/>
      <c r="Y34" s="364">
        <v>7</v>
      </c>
      <c r="Z34" s="365">
        <v>2</v>
      </c>
      <c r="AD34" s="404"/>
      <c r="AE34" s="405"/>
      <c r="AF34" s="406"/>
      <c r="AG34" s="406"/>
      <c r="AH34" s="406"/>
      <c r="AI34" s="406"/>
      <c r="AJ34" s="406"/>
      <c r="AK34" s="406"/>
      <c r="AL34" s="407"/>
    </row>
    <row r="35" spans="1:38" s="8" customFormat="1" ht="16.5" customHeight="1" thickBot="1" x14ac:dyDescent="0.3">
      <c r="A35" s="341"/>
      <c r="B35" s="36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398"/>
      <c r="R35" s="408" t="s">
        <v>304</v>
      </c>
      <c r="S35" s="409" t="s">
        <v>303</v>
      </c>
      <c r="T35" s="410"/>
      <c r="U35" s="371"/>
      <c r="V35" s="371"/>
      <c r="W35" s="371"/>
      <c r="X35" s="397" t="s">
        <v>466</v>
      </c>
      <c r="Y35" s="364">
        <v>7.5</v>
      </c>
      <c r="Z35" s="365">
        <v>2.25</v>
      </c>
      <c r="AA35" s="371"/>
      <c r="AB35" s="371"/>
      <c r="AC35" s="371"/>
      <c r="AD35" s="411"/>
      <c r="AE35" s="412"/>
      <c r="AF35" s="413"/>
      <c r="AG35" s="413"/>
      <c r="AH35" s="406"/>
      <c r="AI35" s="406"/>
      <c r="AJ35" s="406"/>
      <c r="AK35" s="406"/>
      <c r="AL35" s="407"/>
    </row>
    <row r="36" spans="1:38" s="8" customFormat="1" ht="74.25" customHeight="1" thickBot="1" x14ac:dyDescent="0.25">
      <c r="A36" s="341"/>
      <c r="B36" s="36"/>
      <c r="C36" s="894" t="s">
        <v>503</v>
      </c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6"/>
      <c r="O36" s="37"/>
      <c r="P36" s="36"/>
      <c r="Q36" s="398"/>
      <c r="R36" s="414">
        <f>IF(SUM(R39:R42)=4,1,0)</f>
        <v>0</v>
      </c>
      <c r="S36" s="414">
        <f>IF(SUM(S39:S42)=4,1,0)</f>
        <v>0</v>
      </c>
      <c r="T36" s="372"/>
      <c r="U36" s="372"/>
      <c r="V36" s="372"/>
      <c r="W36" s="372"/>
      <c r="X36" s="415">
        <f>VLOOKUP($W$19,Y20:Z36,2)</f>
        <v>1</v>
      </c>
      <c r="Y36" s="364">
        <v>8</v>
      </c>
      <c r="Z36" s="365">
        <v>2.5</v>
      </c>
      <c r="AA36" s="372"/>
      <c r="AB36" s="372"/>
      <c r="AC36" s="372"/>
      <c r="AD36" s="371"/>
      <c r="AE36" s="371"/>
      <c r="AF36" s="371"/>
      <c r="AG36" s="371"/>
    </row>
    <row r="37" spans="1:38" s="8" customFormat="1" ht="18.75" hidden="1" customHeight="1" x14ac:dyDescent="0.4">
      <c r="A37" s="341"/>
      <c r="B37" s="36"/>
      <c r="C37" s="620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621"/>
      <c r="O37" s="416"/>
      <c r="P37" s="416"/>
      <c r="Q37" s="398"/>
      <c r="R37" s="399"/>
      <c r="S37" s="399"/>
      <c r="T37" s="399"/>
      <c r="U37" s="8" t="s">
        <v>15</v>
      </c>
      <c r="V37" s="8" t="s">
        <v>6</v>
      </c>
      <c r="Y37" s="359">
        <v>9</v>
      </c>
      <c r="Z37" s="360">
        <v>3</v>
      </c>
      <c r="AD37" s="404"/>
      <c r="AE37" s="405"/>
      <c r="AF37" s="406"/>
      <c r="AG37" s="406"/>
      <c r="AH37" s="406"/>
      <c r="AI37" s="406"/>
      <c r="AJ37" s="406"/>
      <c r="AK37" s="406"/>
      <c r="AL37" s="407"/>
    </row>
    <row r="38" spans="1:38" s="8" customFormat="1" ht="22.5" customHeight="1" x14ac:dyDescent="0.25">
      <c r="A38" s="341"/>
      <c r="B38" s="36"/>
      <c r="C38" s="622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623"/>
      <c r="O38" s="417"/>
      <c r="P38" s="417"/>
      <c r="Q38" s="398"/>
      <c r="S38" s="418" t="s">
        <v>421</v>
      </c>
      <c r="T38" s="399"/>
      <c r="U38" s="419"/>
      <c r="V38" s="282"/>
      <c r="W38" s="419"/>
      <c r="X38" s="282"/>
      <c r="AD38" s="404"/>
      <c r="AE38" s="405"/>
      <c r="AF38" s="406"/>
      <c r="AG38" s="406"/>
      <c r="AH38" s="406"/>
      <c r="AI38" s="406"/>
      <c r="AJ38" s="406"/>
      <c r="AK38" s="406"/>
      <c r="AL38" s="407"/>
    </row>
    <row r="39" spans="1:38" s="8" customFormat="1" ht="39" customHeight="1" x14ac:dyDescent="0.25">
      <c r="A39" s="341"/>
      <c r="B39" s="36"/>
      <c r="C39" s="878" t="s">
        <v>410</v>
      </c>
      <c r="D39" s="879"/>
      <c r="E39" s="879"/>
      <c r="F39" s="879"/>
      <c r="G39" s="879"/>
      <c r="H39" s="879"/>
      <c r="I39" s="879"/>
      <c r="J39" s="476" t="s">
        <v>273</v>
      </c>
      <c r="K39" s="26"/>
      <c r="L39" s="36"/>
      <c r="M39" s="484" t="s">
        <v>274</v>
      </c>
      <c r="N39" s="624"/>
      <c r="O39" s="403"/>
      <c r="P39" s="403"/>
      <c r="Q39" s="398"/>
      <c r="R39" s="421">
        <f>IF(OR(K39&lt;&gt;"",N39&lt;&gt;""),1,0)</f>
        <v>0</v>
      </c>
      <c r="S39" s="295">
        <f>IF(N39&lt;&gt;"",1,0)</f>
        <v>0</v>
      </c>
      <c r="T39" s="422"/>
      <c r="U39" s="44"/>
      <c r="V39" s="423"/>
      <c r="W39" s="44"/>
      <c r="X39" s="282"/>
      <c r="AD39" s="404"/>
      <c r="AE39" s="405"/>
      <c r="AF39" s="406"/>
      <c r="AG39" s="406"/>
      <c r="AH39" s="406"/>
      <c r="AI39" s="406"/>
      <c r="AJ39" s="406"/>
      <c r="AK39" s="406"/>
      <c r="AL39" s="407"/>
    </row>
    <row r="40" spans="1:38" s="8" customFormat="1" ht="40.5" customHeight="1" x14ac:dyDescent="0.25">
      <c r="A40" s="341"/>
      <c r="B40" s="36"/>
      <c r="C40" s="878" t="s">
        <v>411</v>
      </c>
      <c r="D40" s="879"/>
      <c r="E40" s="879"/>
      <c r="F40" s="879"/>
      <c r="G40" s="879"/>
      <c r="H40" s="879"/>
      <c r="I40" s="879"/>
      <c r="J40" s="476" t="s">
        <v>273</v>
      </c>
      <c r="K40" s="26"/>
      <c r="L40" s="36"/>
      <c r="M40" s="484" t="s">
        <v>274</v>
      </c>
      <c r="N40" s="624"/>
      <c r="O40" s="403"/>
      <c r="P40" s="403"/>
      <c r="Q40" s="398"/>
      <c r="R40" s="421">
        <f>IF(OR(K40&lt;&gt;"",N40&lt;&gt;""),1,0)</f>
        <v>0</v>
      </c>
      <c r="S40" s="295">
        <f>IF(N40&lt;&gt;"",1,0)</f>
        <v>0</v>
      </c>
      <c r="T40" s="422"/>
      <c r="U40" s="44"/>
      <c r="V40" s="423"/>
      <c r="W40" s="44"/>
      <c r="X40" s="282"/>
      <c r="AD40" s="404"/>
      <c r="AE40" s="405"/>
      <c r="AF40" s="406"/>
      <c r="AG40" s="406"/>
      <c r="AH40" s="406"/>
      <c r="AI40" s="406"/>
      <c r="AJ40" s="406"/>
      <c r="AK40" s="406"/>
      <c r="AL40" s="407"/>
    </row>
    <row r="41" spans="1:38" s="8" customFormat="1" ht="60.75" customHeight="1" x14ac:dyDescent="0.25">
      <c r="A41" s="341"/>
      <c r="B41" s="36"/>
      <c r="C41" s="878" t="s">
        <v>412</v>
      </c>
      <c r="D41" s="879"/>
      <c r="E41" s="879"/>
      <c r="F41" s="879"/>
      <c r="G41" s="879"/>
      <c r="H41" s="879"/>
      <c r="I41" s="879"/>
      <c r="J41" s="476" t="s">
        <v>273</v>
      </c>
      <c r="K41" s="26"/>
      <c r="L41" s="36"/>
      <c r="M41" s="484" t="s">
        <v>274</v>
      </c>
      <c r="N41" s="624"/>
      <c r="O41" s="403"/>
      <c r="P41" s="403"/>
      <c r="Q41" s="398"/>
      <c r="R41" s="421">
        <f>IF(OR(K41&lt;&gt;"",N41&lt;&gt;""),1,0)</f>
        <v>0</v>
      </c>
      <c r="S41" s="295">
        <f>IF(N41&lt;&gt;"",1,0)</f>
        <v>0</v>
      </c>
      <c r="T41" s="422"/>
      <c r="U41" s="44"/>
      <c r="V41" s="423"/>
      <c r="W41" s="44"/>
      <c r="X41" s="282"/>
      <c r="AD41" s="404"/>
      <c r="AE41" s="405"/>
      <c r="AF41" s="406"/>
      <c r="AG41" s="406"/>
      <c r="AH41" s="406"/>
      <c r="AI41" s="406"/>
      <c r="AJ41" s="406"/>
      <c r="AK41" s="406"/>
      <c r="AL41" s="407"/>
    </row>
    <row r="42" spans="1:38" s="8" customFormat="1" ht="37.5" customHeight="1" thickBot="1" x14ac:dyDescent="0.3">
      <c r="A42" s="341"/>
      <c r="B42" s="36"/>
      <c r="C42" s="866" t="s">
        <v>413</v>
      </c>
      <c r="D42" s="867"/>
      <c r="E42" s="867"/>
      <c r="F42" s="867"/>
      <c r="G42" s="867"/>
      <c r="H42" s="867"/>
      <c r="I42" s="867"/>
      <c r="J42" s="625" t="s">
        <v>273</v>
      </c>
      <c r="K42" s="626"/>
      <c r="L42" s="627"/>
      <c r="M42" s="570" t="s">
        <v>274</v>
      </c>
      <c r="N42" s="628"/>
      <c r="O42" s="403"/>
      <c r="P42" s="297"/>
      <c r="Q42" s="398"/>
      <c r="R42" s="421">
        <f>IF(OR(K42&lt;&gt;"",N42&lt;&gt;""),1,0)</f>
        <v>0</v>
      </c>
      <c r="S42" s="295">
        <f>IF(N42&lt;&gt;"",1,0)</f>
        <v>0</v>
      </c>
      <c r="T42" s="422"/>
      <c r="U42" s="44"/>
      <c r="V42" s="423"/>
      <c r="W42" s="44"/>
      <c r="X42" s="282"/>
      <c r="AD42" s="404"/>
      <c r="AE42" s="405"/>
      <c r="AF42" s="406"/>
      <c r="AG42" s="406"/>
      <c r="AH42" s="406"/>
      <c r="AI42" s="406"/>
      <c r="AJ42" s="406"/>
      <c r="AK42" s="406"/>
      <c r="AL42" s="407"/>
    </row>
    <row r="43" spans="1:38" s="8" customFormat="1" ht="14.1" customHeight="1" x14ac:dyDescent="0.25">
      <c r="A43" s="34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24"/>
      <c r="P43" s="100"/>
      <c r="Q43" s="398"/>
      <c r="R43" s="399"/>
      <c r="S43" s="399"/>
      <c r="T43" s="399"/>
      <c r="U43" s="425"/>
      <c r="V43" s="282"/>
      <c r="W43" s="425"/>
      <c r="X43" s="425"/>
      <c r="AD43" s="404"/>
      <c r="AE43" s="405"/>
      <c r="AF43" s="406"/>
      <c r="AG43" s="406"/>
      <c r="AH43" s="406"/>
      <c r="AI43" s="406"/>
      <c r="AJ43" s="406"/>
      <c r="AK43" s="406"/>
      <c r="AL43" s="407"/>
    </row>
    <row r="44" spans="1:38" s="8" customFormat="1" ht="21" customHeight="1" thickBot="1" x14ac:dyDescent="0.3">
      <c r="A44" s="341"/>
      <c r="B44" s="36"/>
      <c r="C44" s="36"/>
      <c r="D44" s="36"/>
      <c r="E44" s="36"/>
      <c r="F44" s="36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398"/>
      <c r="R44" s="408" t="s">
        <v>304</v>
      </c>
      <c r="S44" s="426" t="s">
        <v>420</v>
      </c>
      <c r="T44" s="399"/>
      <c r="U44" s="282"/>
      <c r="V44" s="282"/>
      <c r="W44" s="282"/>
      <c r="X44" s="282"/>
      <c r="AD44" s="404"/>
      <c r="AE44" s="405"/>
      <c r="AF44" s="406"/>
      <c r="AG44" s="406"/>
      <c r="AH44" s="406"/>
      <c r="AI44" s="406"/>
      <c r="AJ44" s="406"/>
      <c r="AK44" s="406"/>
      <c r="AL44" s="407"/>
    </row>
    <row r="45" spans="1:38" ht="74.25" customHeight="1" thickBot="1" x14ac:dyDescent="0.25">
      <c r="A45" s="341"/>
      <c r="B45" s="36"/>
      <c r="C45" s="868" t="s">
        <v>540</v>
      </c>
      <c r="D45" s="869"/>
      <c r="E45" s="869"/>
      <c r="F45" s="869"/>
      <c r="G45" s="869"/>
      <c r="H45" s="869"/>
      <c r="I45" s="869"/>
      <c r="J45" s="869"/>
      <c r="K45" s="869"/>
      <c r="L45" s="869"/>
      <c r="M45" s="869"/>
      <c r="N45" s="870"/>
      <c r="O45" s="37"/>
      <c r="P45" s="36"/>
      <c r="Q45" s="398"/>
      <c r="R45" s="414">
        <f>IF(SUM(R47:R51)=5,1,0)</f>
        <v>0</v>
      </c>
      <c r="S45" s="421">
        <f>IF(S52&gt;0,1,0)</f>
        <v>0</v>
      </c>
      <c r="T45" s="282"/>
      <c r="U45" s="419"/>
      <c r="V45" s="282"/>
      <c r="W45" s="282"/>
      <c r="X45" s="282"/>
      <c r="Y45" s="8"/>
      <c r="Z45" s="8"/>
      <c r="AA45" s="8"/>
      <c r="AB45" s="8"/>
      <c r="AC45" s="8"/>
      <c r="AD45" s="8"/>
      <c r="AE45" s="8"/>
      <c r="AF45" s="8"/>
      <c r="AG45" s="8"/>
    </row>
    <row r="46" spans="1:38" s="8" customFormat="1" ht="14.1" customHeight="1" x14ac:dyDescent="0.25">
      <c r="A46" s="341"/>
      <c r="B46" s="36"/>
      <c r="C46" s="629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630"/>
      <c r="O46" s="427"/>
      <c r="P46" s="427"/>
      <c r="Q46" s="398"/>
      <c r="R46" s="399"/>
      <c r="S46" s="399"/>
      <c r="T46" s="399"/>
      <c r="U46" s="419"/>
      <c r="V46" s="282"/>
      <c r="W46" s="282"/>
      <c r="X46" s="282"/>
      <c r="AD46" s="404"/>
      <c r="AE46" s="405"/>
      <c r="AF46" s="406"/>
      <c r="AG46" s="406"/>
      <c r="AH46" s="406"/>
      <c r="AI46" s="406"/>
      <c r="AJ46" s="406"/>
      <c r="AK46" s="406"/>
      <c r="AL46" s="407"/>
    </row>
    <row r="47" spans="1:38" s="8" customFormat="1" ht="43.5" customHeight="1" x14ac:dyDescent="0.25">
      <c r="A47" s="341"/>
      <c r="B47" s="36"/>
      <c r="C47" s="878" t="s">
        <v>414</v>
      </c>
      <c r="D47" s="879"/>
      <c r="E47" s="879"/>
      <c r="F47" s="879"/>
      <c r="G47" s="879"/>
      <c r="H47" s="879"/>
      <c r="I47" s="879"/>
      <c r="J47" s="476" t="s">
        <v>273</v>
      </c>
      <c r="K47" s="26"/>
      <c r="L47" s="36"/>
      <c r="M47" s="558" t="s">
        <v>274</v>
      </c>
      <c r="N47" s="624"/>
      <c r="O47" s="403"/>
      <c r="P47" s="403"/>
      <c r="Q47" s="398"/>
      <c r="R47" s="421">
        <f>IF(OR(K47&lt;&gt;"",N47&lt;&gt;""),1,0)</f>
        <v>0</v>
      </c>
      <c r="S47" s="428">
        <f>IF(N47&lt;&gt;"",1,N47)</f>
        <v>0</v>
      </c>
      <c r="T47" s="422"/>
      <c r="U47" s="44"/>
      <c r="V47" s="282"/>
      <c r="W47" s="282"/>
      <c r="X47" s="282"/>
      <c r="AD47" s="404"/>
      <c r="AE47" s="405"/>
      <c r="AF47" s="406"/>
      <c r="AG47" s="406"/>
      <c r="AH47" s="406"/>
      <c r="AI47" s="406"/>
      <c r="AJ47" s="406"/>
      <c r="AK47" s="406"/>
      <c r="AL47" s="407"/>
    </row>
    <row r="48" spans="1:38" s="8" customFormat="1" ht="44.25" customHeight="1" x14ac:dyDescent="0.25">
      <c r="A48" s="341"/>
      <c r="B48" s="36"/>
      <c r="C48" s="878" t="s">
        <v>415</v>
      </c>
      <c r="D48" s="879"/>
      <c r="E48" s="879"/>
      <c r="F48" s="879"/>
      <c r="G48" s="879"/>
      <c r="H48" s="879"/>
      <c r="I48" s="879"/>
      <c r="J48" s="476" t="s">
        <v>273</v>
      </c>
      <c r="K48" s="26"/>
      <c r="L48" s="36"/>
      <c r="M48" s="558" t="s">
        <v>274</v>
      </c>
      <c r="N48" s="624"/>
      <c r="O48" s="403"/>
      <c r="P48" s="403"/>
      <c r="Q48" s="398"/>
      <c r="R48" s="421">
        <f>IF(OR(K48&lt;&gt;"",N48&lt;&gt;""),1,0)</f>
        <v>0</v>
      </c>
      <c r="S48" s="428">
        <f>IF(N48&lt;&gt;"",1,N48)</f>
        <v>0</v>
      </c>
      <c r="T48" s="422"/>
      <c r="U48" s="44"/>
      <c r="V48" s="282"/>
      <c r="W48" s="282"/>
      <c r="X48" s="282"/>
      <c r="AD48" s="404"/>
      <c r="AE48" s="405"/>
      <c r="AF48" s="406"/>
      <c r="AG48" s="406"/>
      <c r="AH48" s="406"/>
      <c r="AI48" s="406"/>
      <c r="AJ48" s="406"/>
      <c r="AK48" s="406"/>
      <c r="AL48" s="407"/>
    </row>
    <row r="49" spans="1:24" ht="46.5" customHeight="1" x14ac:dyDescent="0.2">
      <c r="A49" s="341"/>
      <c r="B49" s="36"/>
      <c r="C49" s="878" t="s">
        <v>416</v>
      </c>
      <c r="D49" s="879"/>
      <c r="E49" s="879"/>
      <c r="F49" s="879"/>
      <c r="G49" s="879"/>
      <c r="H49" s="879"/>
      <c r="I49" s="879"/>
      <c r="J49" s="476" t="s">
        <v>273</v>
      </c>
      <c r="K49" s="26"/>
      <c r="L49" s="36"/>
      <c r="M49" s="558" t="s">
        <v>274</v>
      </c>
      <c r="N49" s="631"/>
      <c r="O49" s="403"/>
      <c r="P49" s="403"/>
      <c r="Q49" s="398"/>
      <c r="R49" s="421">
        <f>IF(OR(K49&lt;&gt;"",N49&lt;&gt;""),1,0)</f>
        <v>0</v>
      </c>
      <c r="S49" s="428">
        <f>IF(N49&lt;&gt;"",1,N49)</f>
        <v>0</v>
      </c>
      <c r="T49" s="423"/>
      <c r="U49" s="44"/>
      <c r="V49" s="282"/>
      <c r="W49" s="282"/>
      <c r="X49" s="282"/>
    </row>
    <row r="50" spans="1:24" ht="50.25" customHeight="1" x14ac:dyDescent="0.2">
      <c r="A50" s="341"/>
      <c r="B50" s="36"/>
      <c r="C50" s="878" t="s">
        <v>417</v>
      </c>
      <c r="D50" s="879"/>
      <c r="E50" s="879"/>
      <c r="F50" s="879"/>
      <c r="G50" s="879"/>
      <c r="H50" s="879"/>
      <c r="I50" s="879"/>
      <c r="J50" s="476" t="s">
        <v>273</v>
      </c>
      <c r="K50" s="26"/>
      <c r="L50" s="36"/>
      <c r="M50" s="558" t="s">
        <v>274</v>
      </c>
      <c r="N50" s="624"/>
      <c r="O50" s="403"/>
      <c r="P50" s="36"/>
      <c r="Q50" s="398"/>
      <c r="R50" s="421">
        <f>IF(OR(K50&lt;&gt;"",N50&lt;&gt;""),1,0)</f>
        <v>0</v>
      </c>
      <c r="S50" s="428">
        <f>IF(N50&lt;&gt;"",1,N50)</f>
        <v>0</v>
      </c>
      <c r="T50" s="422"/>
      <c r="U50" s="44"/>
      <c r="V50" s="282"/>
      <c r="W50" s="282"/>
      <c r="X50" s="282"/>
    </row>
    <row r="51" spans="1:24" ht="37.5" customHeight="1" thickBot="1" x14ac:dyDescent="0.25">
      <c r="A51" s="341"/>
      <c r="B51" s="36"/>
      <c r="C51" s="866" t="s">
        <v>418</v>
      </c>
      <c r="D51" s="867"/>
      <c r="E51" s="867"/>
      <c r="F51" s="867"/>
      <c r="G51" s="867"/>
      <c r="H51" s="867"/>
      <c r="I51" s="867"/>
      <c r="J51" s="625" t="s">
        <v>273</v>
      </c>
      <c r="K51" s="626"/>
      <c r="L51" s="627"/>
      <c r="M51" s="632" t="s">
        <v>274</v>
      </c>
      <c r="N51" s="628"/>
      <c r="O51" s="403"/>
      <c r="P51" s="163"/>
      <c r="Q51" s="398"/>
      <c r="R51" s="421">
        <f>IF(OR(K51&lt;&gt;"",N51&lt;&gt;""),1,0)</f>
        <v>0</v>
      </c>
      <c r="S51" s="428">
        <f>IF(N51&lt;&gt;"",1,N51)</f>
        <v>0</v>
      </c>
      <c r="T51" s="422"/>
      <c r="U51" s="44"/>
      <c r="V51" s="429"/>
      <c r="W51" s="282"/>
      <c r="X51" s="282"/>
    </row>
    <row r="52" spans="1:24" ht="14.1" customHeight="1" x14ac:dyDescent="0.2">
      <c r="A52" s="34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30"/>
      <c r="P52" s="36"/>
      <c r="Q52" s="398"/>
      <c r="S52" s="431">
        <f>SUM(S47:S51)</f>
        <v>0</v>
      </c>
      <c r="T52" s="282"/>
      <c r="U52" s="432"/>
      <c r="V52" s="432"/>
      <c r="W52" s="433"/>
      <c r="X52" s="434"/>
    </row>
    <row r="53" spans="1:24" ht="26.25" customHeight="1" thickBot="1" x14ac:dyDescent="0.25">
      <c r="A53" s="341"/>
      <c r="B53" s="36"/>
      <c r="C53" s="845" t="str">
        <f>IF(P13="NO","",IF(S54=0,"Please, proceed to answer the following questions","To answer the following questions is not needed"))</f>
        <v/>
      </c>
      <c r="D53" s="845"/>
      <c r="E53" s="845"/>
      <c r="F53" s="845"/>
      <c r="G53" s="845"/>
      <c r="H53" s="845"/>
      <c r="I53" s="845"/>
      <c r="J53" s="845"/>
      <c r="K53" s="845"/>
      <c r="L53" s="845"/>
      <c r="M53" s="845"/>
      <c r="N53" s="845"/>
      <c r="O53" s="36"/>
      <c r="P53" s="36"/>
      <c r="Q53" s="398"/>
    </row>
    <row r="54" spans="1:24" ht="42" customHeight="1" x14ac:dyDescent="0.2">
      <c r="A54" s="341"/>
      <c r="B54" s="36"/>
      <c r="C54" s="855" t="s">
        <v>500</v>
      </c>
      <c r="D54" s="856"/>
      <c r="E54" s="856"/>
      <c r="F54" s="856"/>
      <c r="G54" s="856"/>
      <c r="H54" s="856"/>
      <c r="I54" s="856"/>
      <c r="J54" s="856"/>
      <c r="K54" s="856"/>
      <c r="L54" s="856"/>
      <c r="M54" s="856"/>
      <c r="N54" s="857"/>
      <c r="O54" s="36"/>
      <c r="P54" s="36"/>
      <c r="Q54" s="398"/>
      <c r="R54" s="435" t="s">
        <v>486</v>
      </c>
      <c r="S54" s="436">
        <f>IF(OR(S45=1,S36=1),1,0)</f>
        <v>0</v>
      </c>
    </row>
    <row r="55" spans="1:24" ht="10.5" customHeight="1" x14ac:dyDescent="0.2">
      <c r="A55" s="341"/>
      <c r="B55" s="36"/>
      <c r="C55" s="633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634"/>
      <c r="O55" s="36"/>
      <c r="P55" s="36"/>
      <c r="Q55" s="398"/>
    </row>
    <row r="56" spans="1:24" ht="26.25" customHeight="1" x14ac:dyDescent="0.2">
      <c r="A56" s="341"/>
      <c r="B56" s="36"/>
      <c r="C56" s="846" t="s">
        <v>470</v>
      </c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8"/>
      <c r="O56" s="36"/>
      <c r="P56" s="36"/>
      <c r="Q56" s="398"/>
    </row>
    <row r="57" spans="1:24" ht="8.25" customHeight="1" x14ac:dyDescent="0.2">
      <c r="A57" s="341"/>
      <c r="B57" s="36"/>
      <c r="C57" s="63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634"/>
      <c r="O57" s="36"/>
      <c r="P57" s="36"/>
      <c r="Q57" s="398"/>
    </row>
    <row r="58" spans="1:24" ht="26.1" customHeight="1" x14ac:dyDescent="0.2">
      <c r="A58" s="341"/>
      <c r="B58" s="36"/>
      <c r="C58" s="635" t="s">
        <v>475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634"/>
      <c r="O58" s="36"/>
      <c r="P58" s="36"/>
      <c r="Q58" s="398"/>
      <c r="R58" s="8"/>
      <c r="S58" s="418" t="s">
        <v>421</v>
      </c>
      <c r="U58" s="418" t="s">
        <v>401</v>
      </c>
    </row>
    <row r="59" spans="1:24" ht="26.25" customHeight="1" x14ac:dyDescent="0.25">
      <c r="A59" s="341"/>
      <c r="B59" s="36"/>
      <c r="C59" s="871" t="s">
        <v>471</v>
      </c>
      <c r="D59" s="872"/>
      <c r="E59" s="872"/>
      <c r="F59" s="872"/>
      <c r="G59" s="872"/>
      <c r="H59" s="872"/>
      <c r="I59" s="872"/>
      <c r="J59" s="420" t="s">
        <v>273</v>
      </c>
      <c r="K59" s="199"/>
      <c r="L59" s="437"/>
      <c r="M59" s="485" t="s">
        <v>274</v>
      </c>
      <c r="N59" s="636"/>
      <c r="O59" s="36"/>
      <c r="P59" s="36"/>
      <c r="Q59" s="398"/>
      <c r="R59" s="421">
        <f>IF(OR(K59&lt;&gt;"",N59&lt;&gt;""),1,0)</f>
        <v>0</v>
      </c>
      <c r="S59" s="295">
        <f>IF(N59&lt;&gt;"",1,0)</f>
        <v>0</v>
      </c>
      <c r="T59" s="438">
        <v>1</v>
      </c>
    </row>
    <row r="60" spans="1:24" ht="39.75" customHeight="1" x14ac:dyDescent="0.25">
      <c r="A60" s="341"/>
      <c r="B60" s="36"/>
      <c r="C60" s="871" t="s">
        <v>472</v>
      </c>
      <c r="D60" s="872"/>
      <c r="E60" s="872"/>
      <c r="F60" s="872"/>
      <c r="G60" s="872"/>
      <c r="H60" s="872"/>
      <c r="I60" s="872"/>
      <c r="J60" s="420" t="s">
        <v>273</v>
      </c>
      <c r="K60" s="366"/>
      <c r="L60" s="437"/>
      <c r="M60" s="485" t="s">
        <v>274</v>
      </c>
      <c r="N60" s="637"/>
      <c r="O60" s="36"/>
      <c r="P60" s="36"/>
      <c r="Q60" s="398"/>
      <c r="R60" s="421">
        <f>IF(OR(K60&lt;&gt;"",N60&lt;&gt;""),1,0)</f>
        <v>0</v>
      </c>
      <c r="S60" s="295">
        <f>IF(N60&lt;&gt;"",1,0)</f>
        <v>0</v>
      </c>
      <c r="T60" s="438">
        <v>5</v>
      </c>
    </row>
    <row r="61" spans="1:24" ht="26.25" customHeight="1" x14ac:dyDescent="0.25">
      <c r="A61" s="341"/>
      <c r="B61" s="36"/>
      <c r="C61" s="871" t="s">
        <v>536</v>
      </c>
      <c r="D61" s="872"/>
      <c r="E61" s="872"/>
      <c r="F61" s="872"/>
      <c r="G61" s="872"/>
      <c r="H61" s="872"/>
      <c r="I61" s="872"/>
      <c r="J61" s="420" t="s">
        <v>273</v>
      </c>
      <c r="K61" s="366"/>
      <c r="L61" s="437"/>
      <c r="M61" s="485" t="s">
        <v>274</v>
      </c>
      <c r="N61" s="637"/>
      <c r="O61" s="36"/>
      <c r="P61" s="36"/>
      <c r="Q61" s="398"/>
      <c r="R61" s="421">
        <f>IF(OR(K61&lt;&gt;"",N61&lt;&gt;""),1,0)</f>
        <v>0</v>
      </c>
      <c r="S61" s="295">
        <f>IF(N61&lt;&gt;"",1,0)</f>
        <v>0</v>
      </c>
      <c r="T61" s="438">
        <v>9</v>
      </c>
      <c r="U61" s="439">
        <f>MAX(S59*T59,S60*T60,S61*T61)</f>
        <v>0</v>
      </c>
    </row>
    <row r="62" spans="1:24" ht="12" customHeight="1" x14ac:dyDescent="0.2">
      <c r="A62" s="341"/>
      <c r="B62" s="36"/>
      <c r="C62" s="633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634"/>
      <c r="O62" s="36"/>
      <c r="P62" s="36"/>
      <c r="Q62" s="398"/>
    </row>
    <row r="63" spans="1:24" ht="26.25" customHeight="1" x14ac:dyDescent="0.2">
      <c r="A63" s="341"/>
      <c r="B63" s="36"/>
      <c r="C63" s="846" t="s">
        <v>473</v>
      </c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8"/>
      <c r="O63" s="36"/>
      <c r="P63" s="36"/>
      <c r="Q63" s="398"/>
    </row>
    <row r="64" spans="1:24" ht="8.25" customHeight="1" x14ac:dyDescent="0.2">
      <c r="A64" s="341"/>
      <c r="B64" s="36"/>
      <c r="C64" s="633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634"/>
      <c r="O64" s="36"/>
      <c r="P64" s="36"/>
      <c r="Q64" s="398"/>
    </row>
    <row r="65" spans="1:21" ht="26.25" customHeight="1" x14ac:dyDescent="0.25">
      <c r="A65" s="341"/>
      <c r="B65" s="36"/>
      <c r="C65" s="873" t="s">
        <v>474</v>
      </c>
      <c r="D65" s="874"/>
      <c r="E65" s="874"/>
      <c r="F65" s="874"/>
      <c r="G65" s="874"/>
      <c r="H65" s="874"/>
      <c r="I65" s="874"/>
      <c r="J65" s="420" t="s">
        <v>273</v>
      </c>
      <c r="K65" s="199"/>
      <c r="L65" s="437"/>
      <c r="M65" s="485" t="s">
        <v>274</v>
      </c>
      <c r="N65" s="636"/>
      <c r="O65" s="36"/>
      <c r="P65" s="36"/>
      <c r="Q65" s="398"/>
      <c r="R65" s="421">
        <f>IF(OR(K65&lt;&gt;"",N65&lt;&gt;""),1,0)</f>
        <v>0</v>
      </c>
      <c r="S65" s="295">
        <f>IF(N65&lt;&gt;"",1,0)</f>
        <v>0</v>
      </c>
      <c r="T65" s="438">
        <v>2</v>
      </c>
      <c r="U65" s="439"/>
    </row>
    <row r="66" spans="1:21" ht="12" customHeight="1" x14ac:dyDescent="0.2">
      <c r="A66" s="341"/>
      <c r="B66" s="36"/>
      <c r="C66" s="633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634"/>
      <c r="O66" s="36"/>
      <c r="P66" s="36"/>
      <c r="Q66" s="398"/>
    </row>
    <row r="67" spans="1:21" ht="26.25" customHeight="1" x14ac:dyDescent="0.2">
      <c r="A67" s="341"/>
      <c r="B67" s="36"/>
      <c r="C67" s="846" t="s">
        <v>476</v>
      </c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8"/>
      <c r="O67" s="36"/>
      <c r="P67" s="36"/>
      <c r="Q67" s="398"/>
    </row>
    <row r="68" spans="1:21" ht="12" customHeight="1" x14ac:dyDescent="0.2">
      <c r="A68" s="341"/>
      <c r="B68" s="36"/>
      <c r="C68" s="6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634"/>
      <c r="O68" s="36"/>
      <c r="P68" s="36"/>
      <c r="Q68" s="398"/>
      <c r="T68" s="438"/>
    </row>
    <row r="69" spans="1:21" ht="54.75" customHeight="1" x14ac:dyDescent="0.25">
      <c r="A69" s="341"/>
      <c r="B69" s="36"/>
      <c r="C69" s="638" t="s">
        <v>477</v>
      </c>
      <c r="D69" s="470"/>
      <c r="E69" s="875" t="s">
        <v>480</v>
      </c>
      <c r="F69" s="876"/>
      <c r="G69" s="876"/>
      <c r="H69" s="876"/>
      <c r="I69" s="877"/>
      <c r="J69" s="420" t="s">
        <v>273</v>
      </c>
      <c r="K69" s="199"/>
      <c r="L69" s="437"/>
      <c r="M69" s="485" t="s">
        <v>274</v>
      </c>
      <c r="N69" s="636"/>
      <c r="O69" s="36"/>
      <c r="P69" s="36"/>
      <c r="Q69" s="398"/>
      <c r="R69" s="421">
        <f>IF(OR(K69&lt;&gt;"",N69&lt;&gt;""),1,0)</f>
        <v>0</v>
      </c>
      <c r="S69" s="295">
        <f>IF(N69&lt;&gt;"",1,0)</f>
        <v>0</v>
      </c>
      <c r="T69" s="438">
        <v>8</v>
      </c>
    </row>
    <row r="70" spans="1:21" ht="56.25" customHeight="1" x14ac:dyDescent="0.25">
      <c r="A70" s="341"/>
      <c r="B70" s="36"/>
      <c r="C70" s="638" t="s">
        <v>478</v>
      </c>
      <c r="D70" s="471"/>
      <c r="E70" s="876" t="s">
        <v>537</v>
      </c>
      <c r="F70" s="876"/>
      <c r="G70" s="876"/>
      <c r="H70" s="876"/>
      <c r="I70" s="877"/>
      <c r="J70" s="420" t="s">
        <v>273</v>
      </c>
      <c r="K70" s="199"/>
      <c r="L70" s="437"/>
      <c r="M70" s="485" t="s">
        <v>274</v>
      </c>
      <c r="N70" s="636"/>
      <c r="O70" s="36"/>
      <c r="P70" s="36"/>
      <c r="Q70" s="398"/>
      <c r="R70" s="421">
        <f>IF(OR(K70&lt;&gt;"",N70&lt;&gt;""),1,0)</f>
        <v>0</v>
      </c>
      <c r="S70" s="295">
        <f>IF(N70&lt;&gt;"",1,0)</f>
        <v>0</v>
      </c>
      <c r="T70" s="438">
        <v>4</v>
      </c>
    </row>
    <row r="71" spans="1:21" ht="64.5" customHeight="1" x14ac:dyDescent="0.25">
      <c r="A71" s="341"/>
      <c r="B71" s="36"/>
      <c r="C71" s="638" t="s">
        <v>479</v>
      </c>
      <c r="D71" s="471"/>
      <c r="E71" s="876" t="s">
        <v>539</v>
      </c>
      <c r="F71" s="876"/>
      <c r="G71" s="876"/>
      <c r="H71" s="876"/>
      <c r="I71" s="877"/>
      <c r="J71" s="420" t="s">
        <v>273</v>
      </c>
      <c r="K71" s="199"/>
      <c r="L71" s="437"/>
      <c r="M71" s="485" t="s">
        <v>274</v>
      </c>
      <c r="N71" s="636"/>
      <c r="O71" s="36"/>
      <c r="P71" s="36"/>
      <c r="Q71" s="398"/>
      <c r="R71" s="421">
        <f>IF(OR(K71&lt;&gt;"",N71&lt;&gt;""),1,0)</f>
        <v>0</v>
      </c>
      <c r="S71" s="295">
        <f>IF(N71&lt;&gt;"",1,0)</f>
        <v>0</v>
      </c>
      <c r="T71" s="438">
        <v>8</v>
      </c>
    </row>
    <row r="72" spans="1:21" ht="53.25" customHeight="1" x14ac:dyDescent="0.25">
      <c r="A72" s="341"/>
      <c r="B72" s="36"/>
      <c r="C72" s="638" t="s">
        <v>499</v>
      </c>
      <c r="D72" s="471"/>
      <c r="E72" s="876" t="s">
        <v>538</v>
      </c>
      <c r="F72" s="876"/>
      <c r="G72" s="876"/>
      <c r="H72" s="876"/>
      <c r="I72" s="877"/>
      <c r="J72" s="420" t="s">
        <v>273</v>
      </c>
      <c r="K72" s="199"/>
      <c r="L72" s="437"/>
      <c r="M72" s="485" t="s">
        <v>274</v>
      </c>
      <c r="N72" s="636"/>
      <c r="O72" s="36"/>
      <c r="P72" s="36"/>
      <c r="Q72" s="398"/>
      <c r="R72" s="421">
        <f>IF(OR(K72&lt;&gt;"",N72&lt;&gt;""),1,0)</f>
        <v>0</v>
      </c>
      <c r="S72" s="295">
        <f>IF(N72&lt;&gt;"",1,0)</f>
        <v>0</v>
      </c>
      <c r="T72" s="438">
        <v>8</v>
      </c>
      <c r="U72" s="439">
        <f>MAX(S69*T69,S70*T70,S71*T71,S72*T72)</f>
        <v>0</v>
      </c>
    </row>
    <row r="73" spans="1:21" ht="14.25" customHeight="1" x14ac:dyDescent="0.2">
      <c r="A73" s="341"/>
      <c r="B73" s="36"/>
      <c r="C73" s="633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634"/>
      <c r="O73" s="36"/>
      <c r="P73" s="36"/>
      <c r="Q73" s="398"/>
    </row>
    <row r="74" spans="1:21" ht="26.25" customHeight="1" x14ac:dyDescent="0.2">
      <c r="A74" s="341"/>
      <c r="B74" s="36"/>
      <c r="C74" s="846" t="s">
        <v>481</v>
      </c>
      <c r="D74" s="847"/>
      <c r="E74" s="847"/>
      <c r="F74" s="847"/>
      <c r="G74" s="847"/>
      <c r="H74" s="847"/>
      <c r="I74" s="847"/>
      <c r="J74" s="847"/>
      <c r="K74" s="847"/>
      <c r="L74" s="847"/>
      <c r="M74" s="847"/>
      <c r="N74" s="848"/>
      <c r="O74" s="36"/>
      <c r="P74" s="36"/>
      <c r="Q74" s="398"/>
    </row>
    <row r="75" spans="1:21" ht="9.75" customHeight="1" x14ac:dyDescent="0.2">
      <c r="A75" s="341"/>
      <c r="B75" s="36"/>
      <c r="C75" s="633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634"/>
      <c r="O75" s="36"/>
      <c r="P75" s="36"/>
      <c r="Q75" s="398"/>
    </row>
    <row r="76" spans="1:21" ht="38.25" customHeight="1" x14ac:dyDescent="0.25">
      <c r="A76" s="341"/>
      <c r="B76" s="36"/>
      <c r="C76" s="849" t="s">
        <v>541</v>
      </c>
      <c r="D76" s="850"/>
      <c r="E76" s="850"/>
      <c r="F76" s="850"/>
      <c r="G76" s="850"/>
      <c r="H76" s="850"/>
      <c r="I76" s="851"/>
      <c r="J76" s="420" t="s">
        <v>273</v>
      </c>
      <c r="K76" s="199"/>
      <c r="L76" s="437"/>
      <c r="M76" s="485" t="s">
        <v>274</v>
      </c>
      <c r="N76" s="636"/>
      <c r="O76" s="36"/>
      <c r="P76" s="36"/>
      <c r="Q76" s="398"/>
      <c r="R76" s="421">
        <f>IF(OR(K76&lt;&gt;"",N76&lt;&gt;""),1,0)</f>
        <v>0</v>
      </c>
      <c r="S76" s="295">
        <f>IF(N76&lt;&gt;"",1,0)</f>
        <v>0</v>
      </c>
      <c r="T76" s="438">
        <v>3</v>
      </c>
      <c r="U76" s="439">
        <f>S76*T76</f>
        <v>0</v>
      </c>
    </row>
    <row r="77" spans="1:21" ht="13.5" customHeight="1" x14ac:dyDescent="0.2">
      <c r="A77" s="341"/>
      <c r="B77" s="36"/>
      <c r="C77" s="633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634"/>
      <c r="O77" s="36"/>
      <c r="P77" s="36"/>
      <c r="Q77" s="398"/>
    </row>
    <row r="78" spans="1:21" ht="26.25" customHeight="1" x14ac:dyDescent="0.2">
      <c r="A78" s="341"/>
      <c r="B78" s="36"/>
      <c r="C78" s="846" t="s">
        <v>482</v>
      </c>
      <c r="D78" s="847"/>
      <c r="E78" s="847"/>
      <c r="F78" s="847"/>
      <c r="G78" s="847"/>
      <c r="H78" s="847"/>
      <c r="I78" s="847"/>
      <c r="J78" s="847"/>
      <c r="K78" s="847"/>
      <c r="L78" s="847"/>
      <c r="M78" s="847"/>
      <c r="N78" s="848"/>
      <c r="O78" s="36"/>
      <c r="P78" s="36"/>
      <c r="Q78" s="398"/>
    </row>
    <row r="79" spans="1:21" ht="9.75" customHeight="1" x14ac:dyDescent="0.2">
      <c r="A79" s="341"/>
      <c r="B79" s="36"/>
      <c r="C79" s="633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634"/>
      <c r="O79" s="36"/>
      <c r="P79" s="36"/>
      <c r="Q79" s="398"/>
    </row>
    <row r="80" spans="1:21" ht="51" customHeight="1" x14ac:dyDescent="0.25">
      <c r="A80" s="341"/>
      <c r="B80" s="36"/>
      <c r="C80" s="849" t="s">
        <v>483</v>
      </c>
      <c r="D80" s="850"/>
      <c r="E80" s="850"/>
      <c r="F80" s="850"/>
      <c r="G80" s="850"/>
      <c r="H80" s="850"/>
      <c r="I80" s="851"/>
      <c r="J80" s="420" t="s">
        <v>273</v>
      </c>
      <c r="K80" s="199"/>
      <c r="L80" s="437"/>
      <c r="M80" s="485" t="s">
        <v>274</v>
      </c>
      <c r="N80" s="636"/>
      <c r="O80" s="36"/>
      <c r="P80" s="36"/>
      <c r="Q80" s="398"/>
      <c r="R80" s="421">
        <f>IF(OR(K80&lt;&gt;"",N80&lt;&gt;""),1,0)</f>
        <v>0</v>
      </c>
      <c r="S80" s="295">
        <f>IF(N80&lt;&gt;"",1,0)</f>
        <v>0</v>
      </c>
      <c r="T80" s="438">
        <v>12</v>
      </c>
      <c r="U80" s="439">
        <f>S80*T80</f>
        <v>0</v>
      </c>
    </row>
    <row r="81" spans="1:34" ht="45.75" customHeight="1" thickBot="1" x14ac:dyDescent="0.3">
      <c r="A81" s="341"/>
      <c r="B81" s="36"/>
      <c r="C81" s="852" t="s">
        <v>484</v>
      </c>
      <c r="D81" s="853"/>
      <c r="E81" s="853"/>
      <c r="F81" s="853"/>
      <c r="G81" s="853"/>
      <c r="H81" s="853"/>
      <c r="I81" s="854"/>
      <c r="J81" s="639" t="s">
        <v>273</v>
      </c>
      <c r="K81" s="640"/>
      <c r="L81" s="641"/>
      <c r="M81" s="642" t="s">
        <v>274</v>
      </c>
      <c r="N81" s="643"/>
      <c r="O81" s="36"/>
      <c r="P81" s="36"/>
      <c r="Q81" s="398"/>
      <c r="R81" s="421">
        <f>IF(OR(K81&lt;&gt;"",N81&lt;&gt;""),1,0)</f>
        <v>0</v>
      </c>
      <c r="S81" s="295">
        <f>IF(N81&lt;&gt;"",1,0)</f>
        <v>0</v>
      </c>
    </row>
    <row r="82" spans="1:34" ht="18" customHeight="1" x14ac:dyDescent="0.2">
      <c r="A82" s="341"/>
      <c r="B82" s="36"/>
      <c r="C82" s="36"/>
      <c r="D82" s="36"/>
      <c r="E82" s="36"/>
      <c r="F82" s="36"/>
      <c r="G82" s="36"/>
      <c r="H82" s="36"/>
      <c r="I82" s="36"/>
      <c r="J82" s="689" t="str">
        <f>IF(N81="","","sign the duration (1/3, 2/3, 3/3 of the time) when the force is present")</f>
        <v/>
      </c>
      <c r="K82" s="36"/>
      <c r="L82" s="36"/>
      <c r="M82" s="36"/>
      <c r="N82" s="36"/>
      <c r="O82" s="36"/>
      <c r="P82" s="36"/>
      <c r="Q82" s="398"/>
      <c r="S82" s="440" t="s">
        <v>487</v>
      </c>
      <c r="T82" s="438">
        <v>3</v>
      </c>
      <c r="V82" s="7" t="str">
        <f>J82</f>
        <v/>
      </c>
    </row>
    <row r="83" spans="1:34" ht="44.25" customHeight="1" x14ac:dyDescent="0.2">
      <c r="A83" s="341"/>
      <c r="B83" s="36"/>
      <c r="C83" s="36"/>
      <c r="D83" s="36"/>
      <c r="E83" s="36"/>
      <c r="F83" s="36"/>
      <c r="G83" s="36"/>
      <c r="H83" s="36"/>
      <c r="I83" s="36"/>
      <c r="J83" s="841" t="s">
        <v>485</v>
      </c>
      <c r="K83" s="841"/>
      <c r="L83" s="842" t="s">
        <v>489</v>
      </c>
      <c r="M83" s="843"/>
      <c r="N83" s="844"/>
      <c r="O83" s="36"/>
      <c r="P83" s="36"/>
      <c r="Q83" s="398"/>
      <c r="S83" s="440" t="s">
        <v>489</v>
      </c>
      <c r="T83" s="438">
        <v>6</v>
      </c>
      <c r="U83" s="441">
        <f>VLOOKUP(L83,S82:T84,2)</f>
        <v>6</v>
      </c>
    </row>
    <row r="84" spans="1:34" ht="26.25" customHeight="1" x14ac:dyDescent="0.2">
      <c r="A84" s="34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98"/>
      <c r="S84" s="440" t="s">
        <v>490</v>
      </c>
      <c r="T84" s="438">
        <v>8</v>
      </c>
      <c r="U84" s="439">
        <f>IF(ISERROR(U83),0,S81*U83)</f>
        <v>0</v>
      </c>
    </row>
    <row r="85" spans="1:34" ht="12" customHeight="1" x14ac:dyDescent="0.2">
      <c r="A85" s="341"/>
      <c r="B85" s="836" t="s">
        <v>14</v>
      </c>
      <c r="C85" s="839" t="s">
        <v>114</v>
      </c>
      <c r="D85" s="840"/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37"/>
      <c r="P85" s="36"/>
      <c r="Q85" s="370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</row>
    <row r="86" spans="1:34" ht="12" customHeight="1" x14ac:dyDescent="0.2">
      <c r="A86" s="341"/>
      <c r="B86" s="837"/>
      <c r="C86" s="839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37"/>
      <c r="P86" s="36"/>
      <c r="Q86" s="370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</row>
    <row r="87" spans="1:34" ht="12" customHeight="1" x14ac:dyDescent="0.2">
      <c r="A87" s="341"/>
      <c r="B87" s="838"/>
      <c r="C87" s="839"/>
      <c r="D87" s="840"/>
      <c r="E87" s="840"/>
      <c r="F87" s="840"/>
      <c r="G87" s="840"/>
      <c r="H87" s="840"/>
      <c r="I87" s="840"/>
      <c r="J87" s="840"/>
      <c r="K87" s="840"/>
      <c r="L87" s="840"/>
      <c r="M87" s="840"/>
      <c r="N87" s="840"/>
      <c r="O87" s="37"/>
      <c r="P87" s="36"/>
      <c r="Q87" s="370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</row>
    <row r="88" spans="1:34" ht="65.25" customHeight="1" x14ac:dyDescent="0.2">
      <c r="A88" s="341"/>
      <c r="B88" s="36"/>
      <c r="C88" s="858" t="s">
        <v>63</v>
      </c>
      <c r="D88" s="859"/>
      <c r="E88" s="862" t="str">
        <f>LOOKUP(V95,$W$96:$W$100,$Y$96:$Y$100)</f>
        <v>Working condition is not present.</v>
      </c>
      <c r="F88" s="862"/>
      <c r="G88" s="862"/>
      <c r="H88" s="862"/>
      <c r="I88" s="862"/>
      <c r="J88" s="862"/>
      <c r="K88" s="862"/>
      <c r="L88" s="863"/>
      <c r="M88" s="36"/>
      <c r="N88" s="36"/>
      <c r="O88" s="36"/>
      <c r="P88" s="36"/>
      <c r="Q88" s="398"/>
      <c r="R88" s="442" t="s">
        <v>488</v>
      </c>
      <c r="S88" s="436">
        <f>IF(AND(R45=1,R36=1),1,0)</f>
        <v>0</v>
      </c>
      <c r="U88" s="443" t="s">
        <v>491</v>
      </c>
      <c r="V88" s="439">
        <f>(U72+U76+U80+U84+U65+U61)*S29*X36</f>
        <v>0</v>
      </c>
    </row>
    <row r="89" spans="1:34" ht="31.5" customHeight="1" x14ac:dyDescent="0.2">
      <c r="A89" s="341"/>
      <c r="B89" s="36"/>
      <c r="C89" s="860"/>
      <c r="D89" s="861"/>
      <c r="E89" s="864" t="str">
        <f>IF(V96="","",LOOKUP(V96,$AF$96:$AF$99,$AH$96:$AH$99))</f>
        <v/>
      </c>
      <c r="F89" s="864"/>
      <c r="G89" s="864"/>
      <c r="H89" s="864"/>
      <c r="I89" s="864"/>
      <c r="J89" s="864"/>
      <c r="K89" s="864"/>
      <c r="L89" s="865"/>
      <c r="M89" s="36"/>
      <c r="N89" s="36"/>
      <c r="O89" s="36"/>
      <c r="P89" s="36"/>
      <c r="Q89" s="398"/>
      <c r="R89" s="282"/>
      <c r="S89" s="444"/>
      <c r="T89" s="44"/>
      <c r="U89" s="443" t="s">
        <v>330</v>
      </c>
      <c r="V89" s="445" t="str">
        <f>IF(R13=0,"",IF(S88=0,"",IF(S36=1,0.1,IF(S45=1,1,IF(V88&gt;25,1,V88/25)))))</f>
        <v/>
      </c>
      <c r="W89" s="446"/>
      <c r="X89" s="447"/>
    </row>
    <row r="90" spans="1:34" ht="13.5" thickBot="1" x14ac:dyDescent="0.25">
      <c r="A90" s="448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50"/>
      <c r="R90" s="282"/>
      <c r="S90" s="444"/>
      <c r="T90" s="44"/>
      <c r="U90" s="282"/>
      <c r="V90" s="451"/>
      <c r="W90" s="451"/>
      <c r="X90" s="452"/>
    </row>
    <row r="91" spans="1:34" hidden="1" x14ac:dyDescent="0.2">
      <c r="R91" s="282"/>
      <c r="S91" s="282"/>
      <c r="T91" s="282"/>
      <c r="U91" s="282"/>
      <c r="V91" s="451"/>
      <c r="W91" s="451"/>
      <c r="X91" s="452"/>
    </row>
    <row r="92" spans="1:34" hidden="1" x14ac:dyDescent="0.2">
      <c r="R92" s="282"/>
      <c r="S92" s="447"/>
      <c r="T92" s="282"/>
      <c r="U92" s="8"/>
      <c r="V92" s="8"/>
      <c r="W92" s="8"/>
    </row>
    <row r="93" spans="1:34" hidden="1" x14ac:dyDescent="0.2">
      <c r="R93" s="282"/>
      <c r="S93" s="447"/>
      <c r="T93" s="282"/>
      <c r="U93" s="8"/>
      <c r="V93" s="8"/>
      <c r="W93" s="8"/>
    </row>
    <row r="94" spans="1:34" hidden="1" x14ac:dyDescent="0.2">
      <c r="R94" s="282"/>
      <c r="S94" s="282"/>
      <c r="T94" s="282"/>
      <c r="U94" s="8"/>
      <c r="V94" s="8"/>
      <c r="W94" s="8"/>
    </row>
    <row r="95" spans="1:34" hidden="1" x14ac:dyDescent="0.2">
      <c r="R95" s="282"/>
      <c r="S95" s="282"/>
      <c r="T95" s="282"/>
      <c r="U95" s="453" t="s">
        <v>437</v>
      </c>
      <c r="V95" s="255">
        <f>IF(R13=0,1,IF(S88=0,2,IF(S36=1,3,IF(S45=1,4,5))))</f>
        <v>1</v>
      </c>
      <c r="W95" s="454" t="s">
        <v>435</v>
      </c>
      <c r="X95" s="455" t="s">
        <v>434</v>
      </c>
      <c r="Y95" s="440" t="s">
        <v>436</v>
      </c>
      <c r="AC95" s="371"/>
      <c r="AE95" s="455" t="s">
        <v>330</v>
      </c>
      <c r="AF95" s="440" t="s">
        <v>435</v>
      </c>
      <c r="AH95" s="440" t="s">
        <v>436</v>
      </c>
    </row>
    <row r="96" spans="1:34" hidden="1" x14ac:dyDescent="0.2">
      <c r="R96" s="282"/>
      <c r="S96" s="282"/>
      <c r="T96" s="282"/>
      <c r="U96" s="453" t="s">
        <v>438</v>
      </c>
      <c r="V96" s="255" t="str">
        <f>IF(V89="","",VLOOKUP(V89,$AE$96:$AF$99,2,TRUE))</f>
        <v/>
      </c>
      <c r="W96" s="456">
        <v>1</v>
      </c>
      <c r="X96" s="457" t="s">
        <v>424</v>
      </c>
      <c r="Y96" s="458" t="s">
        <v>440</v>
      </c>
      <c r="Z96" s="317"/>
      <c r="AA96" s="317"/>
      <c r="AB96" s="317"/>
      <c r="AC96" s="456"/>
      <c r="AD96" s="317"/>
      <c r="AE96" s="459">
        <v>0</v>
      </c>
      <c r="AF96" s="317">
        <v>1</v>
      </c>
      <c r="AG96" s="458" t="s">
        <v>426</v>
      </c>
      <c r="AH96" s="458" t="s">
        <v>444</v>
      </c>
    </row>
    <row r="97" spans="18:34" hidden="1" x14ac:dyDescent="0.2">
      <c r="R97" s="282"/>
      <c r="S97" s="282"/>
      <c r="T97" s="282"/>
      <c r="U97" s="8"/>
      <c r="V97" s="8"/>
      <c r="W97" s="456">
        <v>2</v>
      </c>
      <c r="X97" s="457" t="s">
        <v>425</v>
      </c>
      <c r="Y97" s="458" t="s">
        <v>441</v>
      </c>
      <c r="Z97" s="317"/>
      <c r="AA97" s="317"/>
      <c r="AB97" s="317"/>
      <c r="AC97" s="456"/>
      <c r="AD97" s="317"/>
      <c r="AE97" s="459">
        <v>0.31</v>
      </c>
      <c r="AF97" s="317">
        <v>2</v>
      </c>
      <c r="AG97" s="458" t="s">
        <v>431</v>
      </c>
      <c r="AH97" s="458" t="s">
        <v>445</v>
      </c>
    </row>
    <row r="98" spans="18:34" hidden="1" x14ac:dyDescent="0.2">
      <c r="R98" s="282"/>
      <c r="S98" s="282"/>
      <c r="T98" s="282"/>
      <c r="U98" s="282"/>
      <c r="V98" s="282"/>
      <c r="W98" s="456">
        <v>3</v>
      </c>
      <c r="X98" s="457" t="s">
        <v>427</v>
      </c>
      <c r="Y98" s="458" t="s">
        <v>428</v>
      </c>
      <c r="Z98" s="317"/>
      <c r="AA98" s="317"/>
      <c r="AB98" s="317"/>
      <c r="AC98" s="456"/>
      <c r="AD98" s="317"/>
      <c r="AE98" s="459">
        <v>0.5</v>
      </c>
      <c r="AF98" s="317">
        <v>3</v>
      </c>
      <c r="AG98" s="458" t="s">
        <v>432</v>
      </c>
      <c r="AH98" s="458" t="s">
        <v>446</v>
      </c>
    </row>
    <row r="99" spans="18:34" hidden="1" x14ac:dyDescent="0.2">
      <c r="R99" s="282"/>
      <c r="S99" s="282"/>
      <c r="T99" s="282"/>
      <c r="U99" s="282"/>
      <c r="V99" s="282"/>
      <c r="W99" s="456">
        <v>4</v>
      </c>
      <c r="X99" s="457" t="s">
        <v>429</v>
      </c>
      <c r="Y99" s="458" t="s">
        <v>443</v>
      </c>
      <c r="Z99" s="317"/>
      <c r="AA99" s="317"/>
      <c r="AB99" s="317"/>
      <c r="AC99" s="456"/>
      <c r="AD99" s="317"/>
      <c r="AE99" s="459">
        <v>0.8</v>
      </c>
      <c r="AF99" s="317">
        <v>4</v>
      </c>
      <c r="AG99" s="458" t="s">
        <v>433</v>
      </c>
      <c r="AH99" s="458" t="s">
        <v>447</v>
      </c>
    </row>
    <row r="100" spans="18:34" hidden="1" x14ac:dyDescent="0.2">
      <c r="R100" s="282"/>
      <c r="S100" s="282"/>
      <c r="T100" s="282"/>
      <c r="U100" s="282"/>
      <c r="V100" s="282"/>
      <c r="W100" s="456">
        <v>5</v>
      </c>
      <c r="X100" s="457" t="s">
        <v>430</v>
      </c>
      <c r="Y100" s="458" t="s">
        <v>442</v>
      </c>
      <c r="Z100" s="317"/>
      <c r="AA100" s="317"/>
      <c r="AB100" s="317"/>
      <c r="AC100" s="456"/>
      <c r="AD100" s="317"/>
      <c r="AE100" s="317"/>
      <c r="AF100" s="317"/>
      <c r="AG100" s="317"/>
      <c r="AH100" s="317"/>
    </row>
    <row r="101" spans="18:34" hidden="1" x14ac:dyDescent="0.2">
      <c r="R101" s="282"/>
      <c r="S101" s="282"/>
      <c r="T101" s="282"/>
      <c r="U101" s="282"/>
      <c r="V101" s="282"/>
      <c r="W101" s="282"/>
      <c r="X101" s="447"/>
      <c r="Y101" s="447"/>
      <c r="Z101" s="447"/>
      <c r="AA101" s="282"/>
      <c r="AB101" s="282"/>
      <c r="AC101" s="282"/>
    </row>
    <row r="102" spans="18:34" hidden="1" x14ac:dyDescent="0.2">
      <c r="R102" s="282"/>
      <c r="S102" s="282"/>
      <c r="T102" s="282"/>
      <c r="U102" s="282"/>
      <c r="V102" s="282"/>
      <c r="W102" s="282"/>
      <c r="X102" s="447"/>
    </row>
    <row r="103" spans="18:34" hidden="1" x14ac:dyDescent="0.2">
      <c r="R103" s="282"/>
      <c r="S103" s="282"/>
      <c r="T103" s="282"/>
      <c r="U103" s="282"/>
      <c r="V103" s="282"/>
      <c r="W103" s="282"/>
      <c r="X103" s="282"/>
    </row>
    <row r="104" spans="18:34" hidden="1" x14ac:dyDescent="0.2">
      <c r="R104" s="282"/>
      <c r="S104" s="282"/>
      <c r="T104" s="282"/>
      <c r="U104" s="282"/>
      <c r="V104" s="282"/>
      <c r="W104" s="282"/>
      <c r="X104" s="282"/>
    </row>
    <row r="105" spans="18:34" hidden="1" x14ac:dyDescent="0.2"/>
    <row r="106" spans="18:34" hidden="1" x14ac:dyDescent="0.2"/>
    <row r="107" spans="18:34" hidden="1" x14ac:dyDescent="0.2"/>
    <row r="108" spans="18:34" hidden="1" x14ac:dyDescent="0.2"/>
    <row r="109" spans="18:34" hidden="1" x14ac:dyDescent="0.2"/>
    <row r="110" spans="18:34" hidden="1" x14ac:dyDescent="0.2"/>
    <row r="111" spans="18:34" hidden="1" x14ac:dyDescent="0.2">
      <c r="Y111" s="447"/>
      <c r="Z111" s="447"/>
      <c r="AA111" s="282"/>
      <c r="AB111" s="282"/>
      <c r="AC111" s="282"/>
    </row>
  </sheetData>
  <sheetProtection password="BD29" sheet="1" objects="1" scenarios="1"/>
  <mergeCells count="64">
    <mergeCell ref="C40:I40"/>
    <mergeCell ref="C41:I41"/>
    <mergeCell ref="J4:K4"/>
    <mergeCell ref="J6:K7"/>
    <mergeCell ref="C32:I32"/>
    <mergeCell ref="C23:H23"/>
    <mergeCell ref="C24:H24"/>
    <mergeCell ref="C26:H26"/>
    <mergeCell ref="C22:H22"/>
    <mergeCell ref="B9:P9"/>
    <mergeCell ref="B4:C4"/>
    <mergeCell ref="B6:C6"/>
    <mergeCell ref="C11:P11"/>
    <mergeCell ref="P13:P14"/>
    <mergeCell ref="C13:N14"/>
    <mergeCell ref="U19:U20"/>
    <mergeCell ref="T19:T20"/>
    <mergeCell ref="C28:H28"/>
    <mergeCell ref="K19:M19"/>
    <mergeCell ref="C39:I39"/>
    <mergeCell ref="C36:N36"/>
    <mergeCell ref="C19:D19"/>
    <mergeCell ref="C33:N34"/>
    <mergeCell ref="C30:H30"/>
    <mergeCell ref="B2:P2"/>
    <mergeCell ref="D4:F4"/>
    <mergeCell ref="D6:F6"/>
    <mergeCell ref="C16:N16"/>
    <mergeCell ref="C17:N17"/>
    <mergeCell ref="L4:P4"/>
    <mergeCell ref="M6:P6"/>
    <mergeCell ref="M7:P7"/>
    <mergeCell ref="C42:I42"/>
    <mergeCell ref="C47:I47"/>
    <mergeCell ref="C48:I48"/>
    <mergeCell ref="C49:I49"/>
    <mergeCell ref="C50:I50"/>
    <mergeCell ref="C88:D89"/>
    <mergeCell ref="E88:L88"/>
    <mergeCell ref="E89:L89"/>
    <mergeCell ref="C51:I51"/>
    <mergeCell ref="C45:N45"/>
    <mergeCell ref="C59:I59"/>
    <mergeCell ref="C60:I60"/>
    <mergeCell ref="C61:I61"/>
    <mergeCell ref="C63:N63"/>
    <mergeCell ref="C65:I65"/>
    <mergeCell ref="C67:N67"/>
    <mergeCell ref="E69:I69"/>
    <mergeCell ref="E70:I70"/>
    <mergeCell ref="E71:I71"/>
    <mergeCell ref="E72:I72"/>
    <mergeCell ref="B85:B87"/>
    <mergeCell ref="C85:N87"/>
    <mergeCell ref="J83:K83"/>
    <mergeCell ref="L83:N83"/>
    <mergeCell ref="C53:N53"/>
    <mergeCell ref="C78:N78"/>
    <mergeCell ref="C80:I80"/>
    <mergeCell ref="C81:I81"/>
    <mergeCell ref="C74:N74"/>
    <mergeCell ref="C76:I76"/>
    <mergeCell ref="C54:N54"/>
    <mergeCell ref="C56:N56"/>
  </mergeCells>
  <phoneticPr fontId="2" type="noConversion"/>
  <conditionalFormatting sqref="P13:P14">
    <cfRule type="expression" dxfId="168" priority="39">
      <formula>P13="YES"</formula>
    </cfRule>
  </conditionalFormatting>
  <conditionalFormatting sqref="K39:K42 N39:N42 K47:K51 N47:N51 E19 I22:I24 I28 C33:N34">
    <cfRule type="expression" dxfId="167" priority="37">
      <formula>$R$13=0</formula>
    </cfRule>
  </conditionalFormatting>
  <conditionalFormatting sqref="P42">
    <cfRule type="expression" dxfId="166" priority="36">
      <formula>$S$36=1</formula>
    </cfRule>
  </conditionalFormatting>
  <conditionalFormatting sqref="P51">
    <cfRule type="expression" dxfId="165" priority="35">
      <formula>$S$52&gt;0</formula>
    </cfRule>
  </conditionalFormatting>
  <conditionalFormatting sqref="I30">
    <cfRule type="expression" dxfId="164" priority="30">
      <formula>$R$13=0</formula>
    </cfRule>
  </conditionalFormatting>
  <conditionalFormatting sqref="K59:K61">
    <cfRule type="expression" dxfId="163" priority="12">
      <formula>$S$54=1</formula>
    </cfRule>
  </conditionalFormatting>
  <conditionalFormatting sqref="N59:N61">
    <cfRule type="expression" dxfId="162" priority="11">
      <formula>$S$54=1</formula>
    </cfRule>
  </conditionalFormatting>
  <conditionalFormatting sqref="K65">
    <cfRule type="expression" dxfId="161" priority="10">
      <formula>$S$54=1</formula>
    </cfRule>
  </conditionalFormatting>
  <conditionalFormatting sqref="N65">
    <cfRule type="expression" dxfId="160" priority="9">
      <formula>$S$54=1</formula>
    </cfRule>
  </conditionalFormatting>
  <conditionalFormatting sqref="K69:K72">
    <cfRule type="expression" dxfId="159" priority="8">
      <formula>$S$54=1</formula>
    </cfRule>
  </conditionalFormatting>
  <conditionalFormatting sqref="N69:N72">
    <cfRule type="expression" dxfId="158" priority="7">
      <formula>$S$54=1</formula>
    </cfRule>
  </conditionalFormatting>
  <conditionalFormatting sqref="N76">
    <cfRule type="expression" dxfId="157" priority="6">
      <formula>$S$54=1</formula>
    </cfRule>
  </conditionalFormatting>
  <conditionalFormatting sqref="K76">
    <cfRule type="expression" dxfId="156" priority="5">
      <formula>$S$54=1</formula>
    </cfRule>
  </conditionalFormatting>
  <conditionalFormatting sqref="K80:K81">
    <cfRule type="expression" dxfId="155" priority="4">
      <formula>$S$54=1</formula>
    </cfRule>
  </conditionalFormatting>
  <conditionalFormatting sqref="N80:N81">
    <cfRule type="expression" dxfId="154" priority="3">
      <formula>$S$54=1</formula>
    </cfRule>
  </conditionalFormatting>
  <conditionalFormatting sqref="J83:N83">
    <cfRule type="expression" dxfId="153" priority="1">
      <formula>$N$81=""</formula>
    </cfRule>
  </conditionalFormatting>
  <conditionalFormatting sqref="E88:E89">
    <cfRule type="expression" dxfId="152" priority="387" stopIfTrue="1">
      <formula>$V$96=4</formula>
    </cfRule>
    <cfRule type="expression" dxfId="151" priority="388" stopIfTrue="1">
      <formula>$V$96=3</formula>
    </cfRule>
    <cfRule type="expression" dxfId="150" priority="389" stopIfTrue="1">
      <formula>$V$96=2</formula>
    </cfRule>
    <cfRule type="expression" dxfId="149" priority="390" stopIfTrue="1">
      <formula>$V$96=1</formula>
    </cfRule>
  </conditionalFormatting>
  <dataValidations count="1">
    <dataValidation type="list" allowBlank="1" showInputMessage="1" showErrorMessage="1" sqref="L83">
      <formula1>"1/3 of time,2/3 of time,all the time,"</formula1>
    </dataValidation>
  </dataValidations>
  <pageMargins left="0.32" right="0.26" top="0.24" bottom="0.28999999999999998" header="0.24" footer="0.32"/>
  <pageSetup paperSize="9" scale="48" orientation="portrait" horizontalDpi="300" verticalDpi="300" r:id="rId1"/>
  <headerFooter alignWithMargins="0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91"/>
  <sheetViews>
    <sheetView zoomScale="53" zoomScaleNormal="53" zoomScaleSheetLayoutView="64" workbookViewId="0">
      <selection activeCell="H121" sqref="H121:L121"/>
    </sheetView>
  </sheetViews>
  <sheetFormatPr defaultColWidth="0" defaultRowHeight="12.75" zeroHeight="1" x14ac:dyDescent="0.2"/>
  <cols>
    <col min="1" max="1" width="4.7109375" customWidth="1"/>
    <col min="2" max="2" width="6.7109375" customWidth="1"/>
    <col min="3" max="3" width="51.140625" customWidth="1"/>
    <col min="4" max="4" width="20.140625" customWidth="1"/>
    <col min="5" max="5" width="13.42578125" customWidth="1"/>
    <col min="6" max="6" width="12.140625" customWidth="1"/>
    <col min="7" max="7" width="35.140625" customWidth="1"/>
    <col min="8" max="8" width="10.7109375" customWidth="1"/>
    <col min="9" max="9" width="10.7109375" style="2" customWidth="1"/>
    <col min="10" max="10" width="9.7109375" customWidth="1"/>
    <col min="11" max="11" width="10.7109375" customWidth="1"/>
    <col min="12" max="12" width="10.7109375" style="2" customWidth="1"/>
    <col min="13" max="13" width="1.28515625" customWidth="1"/>
    <col min="14" max="14" width="10" customWidth="1"/>
    <col min="15" max="15" width="4.7109375" customWidth="1"/>
    <col min="16" max="16" width="12.7109375" style="149" hidden="1" customWidth="1"/>
    <col min="17" max="17" width="13.42578125" hidden="1" customWidth="1"/>
    <col min="18" max="18" width="12.28515625" hidden="1" customWidth="1"/>
    <col min="19" max="19" width="19.42578125" hidden="1" customWidth="1"/>
    <col min="20" max="20" width="20.7109375" hidden="1" customWidth="1"/>
    <col min="21" max="21" width="16" hidden="1" customWidth="1"/>
    <col min="22" max="22" width="14.28515625" hidden="1" customWidth="1"/>
    <col min="23" max="23" width="11.42578125" hidden="1" customWidth="1"/>
    <col min="24" max="24" width="17.140625" hidden="1" customWidth="1"/>
    <col min="25" max="27" width="13.140625" hidden="1" customWidth="1"/>
    <col min="28" max="28" width="13" hidden="1" customWidth="1"/>
    <col min="29" max="29" width="18" hidden="1" customWidth="1"/>
    <col min="30" max="30" width="8.85546875" hidden="1" customWidth="1"/>
    <col min="31" max="31" width="8.5703125" hidden="1" customWidth="1"/>
    <col min="32" max="32" width="21.42578125" hidden="1" customWidth="1"/>
    <col min="33" max="33" width="21.140625" hidden="1" customWidth="1"/>
    <col min="34" max="38" width="5.140625" hidden="1" customWidth="1"/>
    <col min="39" max="16384" width="8.85546875" hidden="1"/>
  </cols>
  <sheetData>
    <row r="1" spans="1:33" ht="21.75" customHeight="1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97.5" customHeight="1" x14ac:dyDescent="0.2">
      <c r="A2" s="112"/>
      <c r="B2" s="950" t="s">
        <v>506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11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1:33" ht="22.5" customHeight="1" x14ac:dyDescent="0.25">
      <c r="A3" s="112"/>
      <c r="B3" s="29"/>
      <c r="C3" s="114"/>
      <c r="D3" s="115"/>
      <c r="E3" s="115"/>
      <c r="F3" s="115"/>
      <c r="G3" s="115"/>
      <c r="H3" s="29"/>
      <c r="I3" s="29"/>
      <c r="J3" s="29"/>
      <c r="K3" s="29"/>
      <c r="L3" s="29"/>
      <c r="M3" s="29"/>
      <c r="N3" s="29"/>
      <c r="O3" s="11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1:33" ht="27" customHeight="1" x14ac:dyDescent="0.2">
      <c r="A4" s="112"/>
      <c r="B4" s="951" t="s">
        <v>66</v>
      </c>
      <c r="C4" s="952"/>
      <c r="D4" s="886" t="str">
        <f>IF('HAZARDS-GEN'!D11="","",'HAZARDS-GEN'!D11)</f>
        <v>xxxxxxxx</v>
      </c>
      <c r="E4" s="887"/>
      <c r="F4" s="888"/>
      <c r="G4" s="29"/>
      <c r="H4" s="904" t="s">
        <v>59</v>
      </c>
      <c r="I4" s="904"/>
      <c r="J4" s="886" t="str">
        <f>IF('HAZARDS-GEN'!$J$11="","",'HAZARDS-GEN'!$J$11)</f>
        <v>xxxxxxxxxxxx</v>
      </c>
      <c r="K4" s="887"/>
      <c r="L4" s="887"/>
      <c r="M4" s="887"/>
      <c r="N4" s="888"/>
      <c r="O4" s="116"/>
      <c r="P4" s="217"/>
      <c r="Q4" s="217"/>
      <c r="R4" s="217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</row>
    <row r="5" spans="1:33" ht="10.5" customHeight="1" x14ac:dyDescent="0.25">
      <c r="A5" s="112"/>
      <c r="B5" s="29"/>
      <c r="C5" s="117"/>
      <c r="D5" s="103"/>
      <c r="E5" s="103"/>
      <c r="F5" s="103"/>
      <c r="G5" s="35"/>
      <c r="H5" s="35"/>
      <c r="I5" s="35"/>
      <c r="J5" s="103"/>
      <c r="K5" s="104"/>
      <c r="L5" s="105"/>
      <c r="M5" s="106"/>
      <c r="N5" s="106"/>
      <c r="O5" s="118"/>
      <c r="P5" s="99"/>
      <c r="Q5" s="218"/>
      <c r="R5" s="99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ht="27.75" customHeight="1" x14ac:dyDescent="0.2">
      <c r="A6" s="112"/>
      <c r="B6" s="904" t="s">
        <v>112</v>
      </c>
      <c r="C6" s="908"/>
      <c r="D6" s="886" t="str">
        <f>IF('HAZARDS-GEN'!D13="","",'HAZARDS-GEN'!D13)</f>
        <v>xxxxxxxxxxxx</v>
      </c>
      <c r="E6" s="887"/>
      <c r="F6" s="888"/>
      <c r="G6" s="29"/>
      <c r="H6" s="905" t="s">
        <v>287</v>
      </c>
      <c r="I6" s="905"/>
      <c r="J6" s="182" t="s">
        <v>243</v>
      </c>
      <c r="K6" s="292" t="str">
        <f>IF('HAZARDS-GEN'!K13="","",'HAZARDS-GEN'!K13)</f>
        <v/>
      </c>
      <c r="L6" s="290"/>
      <c r="M6" s="290"/>
      <c r="N6" s="291"/>
      <c r="O6" s="113"/>
      <c r="P6" s="29"/>
      <c r="Q6" s="29"/>
      <c r="R6" s="29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</row>
    <row r="7" spans="1:33" ht="28.5" customHeight="1" x14ac:dyDescent="0.2">
      <c r="A7" s="112"/>
      <c r="B7" s="29"/>
      <c r="C7" s="31"/>
      <c r="D7" s="30"/>
      <c r="E7" s="30"/>
      <c r="F7" s="30"/>
      <c r="G7" s="101"/>
      <c r="H7" s="905"/>
      <c r="I7" s="905"/>
      <c r="J7" s="182" t="s">
        <v>244</v>
      </c>
      <c r="K7" s="292" t="str">
        <f>IF('HAZARDS-GEN'!K14="","",'HAZARDS-GEN'!K14)</f>
        <v/>
      </c>
      <c r="L7" s="290"/>
      <c r="M7" s="290"/>
      <c r="N7" s="291"/>
      <c r="O7" s="113"/>
      <c r="P7" s="29"/>
      <c r="Q7" s="29"/>
      <c r="R7" s="29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</row>
    <row r="8" spans="1:33" ht="18.75" customHeight="1" x14ac:dyDescent="0.2">
      <c r="A8" s="112"/>
      <c r="B8" s="29"/>
      <c r="C8" s="31"/>
      <c r="D8" s="102"/>
      <c r="E8" s="102"/>
      <c r="F8" s="102"/>
      <c r="G8" s="31"/>
      <c r="H8" s="31"/>
      <c r="I8" s="102"/>
      <c r="J8" s="102"/>
      <c r="K8" s="102"/>
      <c r="L8" s="102"/>
      <c r="M8" s="102"/>
      <c r="N8" s="102"/>
      <c r="O8" s="113"/>
      <c r="P8" s="29"/>
      <c r="Q8" s="29"/>
      <c r="R8" s="29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3" s="2" customFormat="1" ht="44.1" customHeight="1" x14ac:dyDescent="0.2">
      <c r="A9" s="112"/>
      <c r="B9" s="987" t="s">
        <v>266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9"/>
      <c r="O9" s="113"/>
      <c r="P9" s="29"/>
      <c r="Q9" s="29"/>
      <c r="R9" s="29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</row>
    <row r="10" spans="1:33" ht="14.25" customHeight="1" x14ac:dyDescent="0.8">
      <c r="A10" s="11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13"/>
      <c r="P10" s="29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</row>
    <row r="11" spans="1:33" s="10" customFormat="1" ht="11.25" customHeight="1" x14ac:dyDescent="0.2">
      <c r="A11" s="55"/>
      <c r="B11" s="937" t="s">
        <v>16</v>
      </c>
      <c r="C11" s="910" t="s">
        <v>272</v>
      </c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113"/>
      <c r="P11" s="29"/>
      <c r="Q11" s="132"/>
      <c r="R11" s="132"/>
      <c r="S11" s="132"/>
      <c r="T11" s="132"/>
      <c r="U11" s="132"/>
      <c r="V11" s="132"/>
      <c r="W11" s="132"/>
      <c r="X11" s="132"/>
      <c r="Y11" s="132"/>
      <c r="Z11" s="55"/>
      <c r="AA11" s="55"/>
      <c r="AB11" s="55"/>
      <c r="AC11" s="55"/>
      <c r="AD11" s="55"/>
      <c r="AE11" s="55"/>
      <c r="AF11" s="55"/>
      <c r="AG11" s="55"/>
    </row>
    <row r="12" spans="1:33" s="10" customFormat="1" ht="8.25" customHeight="1" x14ac:dyDescent="0.2">
      <c r="A12" s="55"/>
      <c r="B12" s="937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113"/>
      <c r="P12" s="29"/>
      <c r="Q12" s="132"/>
      <c r="R12" s="132"/>
      <c r="S12" s="132"/>
      <c r="T12" s="132"/>
      <c r="U12" s="132"/>
      <c r="V12" s="132"/>
      <c r="W12" s="132"/>
      <c r="X12" s="132"/>
      <c r="Y12" s="132"/>
      <c r="Z12" s="55"/>
      <c r="AA12" s="55"/>
      <c r="AB12" s="55"/>
      <c r="AC12" s="55"/>
      <c r="AD12" s="55"/>
      <c r="AE12" s="55"/>
      <c r="AF12" s="55"/>
      <c r="AG12" s="55"/>
    </row>
    <row r="13" spans="1:33" s="10" customFormat="1" ht="36.75" customHeight="1" x14ac:dyDescent="0.2">
      <c r="A13" s="55"/>
      <c r="B13" s="937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113"/>
      <c r="P13" s="29"/>
      <c r="Q13" s="132"/>
      <c r="R13" s="132"/>
      <c r="S13" s="132"/>
      <c r="T13" s="132"/>
      <c r="U13" s="132"/>
      <c r="V13" s="132"/>
      <c r="W13" s="132"/>
      <c r="X13" s="132"/>
      <c r="Y13" s="132"/>
      <c r="Z13" s="55"/>
      <c r="AA13" s="55"/>
      <c r="AB13" s="55"/>
      <c r="AC13" s="55"/>
      <c r="AD13" s="55"/>
      <c r="AE13" s="55"/>
      <c r="AF13" s="55"/>
      <c r="AG13" s="55"/>
    </row>
    <row r="14" spans="1:33" s="2" customFormat="1" ht="7.5" customHeight="1" x14ac:dyDescent="0.2">
      <c r="A14" s="112"/>
      <c r="B14" s="3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3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</row>
    <row r="15" spans="1:33" ht="26.25" customHeight="1" x14ac:dyDescent="0.2">
      <c r="A15" s="112"/>
      <c r="B15" s="29"/>
      <c r="C15" s="913" t="s">
        <v>340</v>
      </c>
      <c r="D15" s="913"/>
      <c r="E15" s="913"/>
      <c r="F15" s="913"/>
      <c r="G15" s="913"/>
      <c r="H15" s="913"/>
      <c r="I15" s="913"/>
      <c r="J15" s="913"/>
      <c r="K15" s="913"/>
      <c r="L15" s="913"/>
      <c r="M15" s="29"/>
      <c r="N15" s="911" t="str">
        <f>IF('HAZARDS-GEN'!L38&lt;&gt;"","YES","NO")</f>
        <v>NO</v>
      </c>
      <c r="O15" s="113"/>
      <c r="P15" s="191">
        <f>IF(N15="YES",1,0)</f>
        <v>0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</row>
    <row r="16" spans="1:33" ht="26.25" customHeight="1" x14ac:dyDescent="0.2">
      <c r="A16" s="112"/>
      <c r="B16" s="29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29"/>
      <c r="N16" s="912"/>
      <c r="O16" s="113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1:33" ht="27" customHeight="1" x14ac:dyDescent="0.2">
      <c r="A17" s="112"/>
      <c r="B17" s="29"/>
      <c r="C17" s="938" t="str">
        <f>IF(P15=0,"Lifting is not present. Skip block B2","Please, proceed to answer these questions")</f>
        <v>Lifting is not present. Skip block B2</v>
      </c>
      <c r="D17" s="938"/>
      <c r="E17" s="938"/>
      <c r="F17" s="938"/>
      <c r="G17" s="938"/>
      <c r="H17" s="938"/>
      <c r="I17" s="938"/>
      <c r="J17" s="938"/>
      <c r="K17" s="938"/>
      <c r="L17" s="938"/>
      <c r="M17" s="29"/>
      <c r="N17" s="29"/>
      <c r="O17" s="113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</row>
    <row r="18" spans="1:33" ht="18" customHeight="1" thickBot="1" x14ac:dyDescent="0.25">
      <c r="A18" s="112"/>
      <c r="B18" s="2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29"/>
      <c r="N18" s="29"/>
      <c r="O18" s="113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</row>
    <row r="19" spans="1:33" ht="34.5" customHeight="1" x14ac:dyDescent="0.2">
      <c r="A19" s="112"/>
      <c r="B19" s="29"/>
      <c r="C19" s="978" t="s">
        <v>577</v>
      </c>
      <c r="D19" s="979"/>
      <c r="E19" s="979"/>
      <c r="F19" s="979"/>
      <c r="G19" s="979"/>
      <c r="H19" s="979"/>
      <c r="I19" s="979"/>
      <c r="J19" s="979"/>
      <c r="K19" s="979"/>
      <c r="L19" s="980"/>
      <c r="M19" s="29"/>
      <c r="N19" s="29"/>
      <c r="O19" s="113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</row>
    <row r="20" spans="1:33" ht="14.1" customHeight="1" x14ac:dyDescent="0.2">
      <c r="A20" s="112"/>
      <c r="B20" s="29"/>
      <c r="C20" s="576"/>
      <c r="D20" s="178"/>
      <c r="E20" s="178"/>
      <c r="F20" s="178"/>
      <c r="G20" s="178"/>
      <c r="H20" s="178"/>
      <c r="I20" s="178"/>
      <c r="J20" s="178"/>
      <c r="K20" s="178"/>
      <c r="L20" s="577"/>
      <c r="M20" s="29"/>
      <c r="N20" s="29"/>
      <c r="O20" s="113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</row>
    <row r="21" spans="1:33" ht="24.75" customHeight="1" x14ac:dyDescent="0.2">
      <c r="A21" s="112"/>
      <c r="B21" s="29"/>
      <c r="C21" s="922" t="s">
        <v>257</v>
      </c>
      <c r="D21" s="923"/>
      <c r="E21" s="923"/>
      <c r="F21" s="923"/>
      <c r="G21" s="923"/>
      <c r="H21" s="923"/>
      <c r="I21" s="923"/>
      <c r="J21" s="923"/>
      <c r="K21" s="923"/>
      <c r="L21" s="924"/>
      <c r="M21" s="154"/>
      <c r="N21" s="154"/>
      <c r="O21" s="113"/>
      <c r="P21" s="193" t="s">
        <v>274</v>
      </c>
      <c r="Q21" s="181"/>
      <c r="R21" s="29"/>
      <c r="S21" s="2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</row>
    <row r="22" spans="1:33" ht="19.5" customHeight="1" x14ac:dyDescent="0.2">
      <c r="A22" s="29"/>
      <c r="B22" s="29"/>
      <c r="C22" s="568"/>
      <c r="D22" s="29"/>
      <c r="E22" s="29"/>
      <c r="F22" s="29"/>
      <c r="G22" s="29"/>
      <c r="H22" s="29"/>
      <c r="I22" s="29"/>
      <c r="J22" s="29"/>
      <c r="K22" s="29"/>
      <c r="L22" s="569"/>
      <c r="M22" s="29"/>
      <c r="N22" s="29"/>
      <c r="O22" s="113"/>
      <c r="P22" s="151"/>
      <c r="Q22" s="181"/>
      <c r="R22" s="29"/>
      <c r="S22" s="29"/>
      <c r="T22" s="132"/>
      <c r="U22" s="132"/>
      <c r="V22" s="132"/>
      <c r="W22" s="686">
        <v>0</v>
      </c>
      <c r="X22" s="686">
        <v>0</v>
      </c>
      <c r="Y22" s="132"/>
      <c r="Z22" s="132"/>
      <c r="AA22" s="132"/>
      <c r="AB22" s="132"/>
      <c r="AC22" s="132"/>
      <c r="AD22" s="132"/>
      <c r="AE22" s="132"/>
      <c r="AF22" s="132"/>
      <c r="AG22" s="132"/>
    </row>
    <row r="23" spans="1:33" ht="26.1" customHeight="1" x14ac:dyDescent="0.25">
      <c r="A23" s="112"/>
      <c r="B23" s="29"/>
      <c r="C23" s="955" t="s">
        <v>258</v>
      </c>
      <c r="D23" s="956"/>
      <c r="E23" s="956"/>
      <c r="F23" s="956"/>
      <c r="G23" s="956"/>
      <c r="H23" s="560" t="s">
        <v>273</v>
      </c>
      <c r="I23" s="28"/>
      <c r="J23" s="120"/>
      <c r="K23" s="486" t="s">
        <v>274</v>
      </c>
      <c r="L23" s="573"/>
      <c r="M23" s="29"/>
      <c r="N23" s="29"/>
      <c r="O23" s="113"/>
      <c r="P23" s="191">
        <f>IF(L23&lt;&gt;"",1,0)</f>
        <v>0</v>
      </c>
      <c r="Q23" s="29"/>
      <c r="R23" s="29"/>
      <c r="S23" s="29"/>
      <c r="T23" s="132"/>
      <c r="U23" s="132"/>
      <c r="V23" s="132"/>
      <c r="W23" s="587">
        <v>1</v>
      </c>
      <c r="X23" s="587">
        <v>0.1</v>
      </c>
      <c r="Y23" s="132"/>
      <c r="Z23" s="132"/>
      <c r="AA23" s="132"/>
      <c r="AB23" s="132"/>
      <c r="AC23" s="132"/>
      <c r="AD23" s="132"/>
      <c r="AE23" s="132"/>
      <c r="AF23" s="132"/>
      <c r="AG23" s="132"/>
    </row>
    <row r="24" spans="1:33" ht="26.1" customHeight="1" x14ac:dyDescent="0.25">
      <c r="A24" s="112"/>
      <c r="B24" s="29"/>
      <c r="C24" s="955" t="s">
        <v>259</v>
      </c>
      <c r="D24" s="956"/>
      <c r="E24" s="956"/>
      <c r="F24" s="956"/>
      <c r="G24" s="956"/>
      <c r="H24" s="560" t="s">
        <v>273</v>
      </c>
      <c r="I24" s="183"/>
      <c r="J24" s="120"/>
      <c r="K24" s="486" t="s">
        <v>274</v>
      </c>
      <c r="L24" s="573"/>
      <c r="M24" s="29"/>
      <c r="N24" s="29"/>
      <c r="O24" s="113"/>
      <c r="P24" s="191">
        <f>IF(L24&lt;&gt;"",1,0)</f>
        <v>0</v>
      </c>
      <c r="Q24" s="29"/>
      <c r="R24" s="29"/>
      <c r="S24" s="29"/>
      <c r="T24" s="132"/>
      <c r="U24" s="132"/>
      <c r="V24" s="132"/>
      <c r="W24" s="587">
        <v>2</v>
      </c>
      <c r="X24" s="587">
        <v>0.2</v>
      </c>
      <c r="Y24" s="132"/>
      <c r="Z24" s="132"/>
      <c r="AA24" s="132"/>
      <c r="AB24" s="132"/>
      <c r="AC24" s="132"/>
      <c r="AD24" s="132"/>
      <c r="AE24" s="132"/>
      <c r="AF24" s="132"/>
      <c r="AG24" s="132"/>
    </row>
    <row r="25" spans="1:33" ht="26.1" customHeight="1" x14ac:dyDescent="0.25">
      <c r="A25" s="112"/>
      <c r="B25" s="29"/>
      <c r="C25" s="955" t="s">
        <v>260</v>
      </c>
      <c r="D25" s="956"/>
      <c r="E25" s="956"/>
      <c r="F25" s="956"/>
      <c r="G25" s="956"/>
      <c r="H25" s="560" t="s">
        <v>273</v>
      </c>
      <c r="I25" s="183"/>
      <c r="J25" s="120"/>
      <c r="K25" s="486" t="s">
        <v>274</v>
      </c>
      <c r="L25" s="573"/>
      <c r="M25" s="29"/>
      <c r="N25" s="29"/>
      <c r="O25" s="113"/>
      <c r="P25" s="191">
        <f>IF(L25&lt;&gt;"",1,0)</f>
        <v>0</v>
      </c>
      <c r="Q25" s="29"/>
      <c r="R25" s="29"/>
      <c r="S25" s="219"/>
      <c r="T25" s="132"/>
      <c r="U25" s="132"/>
      <c r="V25" s="132"/>
      <c r="W25" s="587">
        <v>3</v>
      </c>
      <c r="X25" s="587">
        <v>0.4</v>
      </c>
      <c r="Y25" s="132"/>
      <c r="Z25" s="132"/>
      <c r="AA25" s="132"/>
      <c r="AB25" s="132"/>
      <c r="AC25" s="132"/>
      <c r="AD25" s="132"/>
      <c r="AE25" s="132"/>
      <c r="AF25" s="132"/>
      <c r="AG25" s="132"/>
    </row>
    <row r="26" spans="1:33" ht="26.25" customHeight="1" x14ac:dyDescent="0.2">
      <c r="A26" s="29"/>
      <c r="B26" s="29"/>
      <c r="C26" s="568"/>
      <c r="D26" s="29"/>
      <c r="E26" s="29"/>
      <c r="F26" s="29"/>
      <c r="G26" s="29"/>
      <c r="H26" s="29"/>
      <c r="I26" s="29"/>
      <c r="J26" s="29"/>
      <c r="K26" s="29"/>
      <c r="L26" s="569"/>
      <c r="M26" s="29"/>
      <c r="N26" s="29"/>
      <c r="O26" s="113"/>
      <c r="P26" s="29"/>
      <c r="Q26" s="29"/>
      <c r="R26" s="29"/>
      <c r="S26" s="219"/>
      <c r="T26" s="132"/>
      <c r="U26" s="132"/>
      <c r="V26" s="132"/>
      <c r="W26" s="587">
        <v>4</v>
      </c>
      <c r="X26" s="587">
        <v>0.4</v>
      </c>
      <c r="Y26" s="132"/>
      <c r="Z26" s="132"/>
      <c r="AA26" s="132"/>
      <c r="AB26" s="132"/>
      <c r="AC26" s="132"/>
      <c r="AD26" s="132"/>
      <c r="AE26" s="132"/>
      <c r="AF26" s="132"/>
      <c r="AG26" s="132"/>
    </row>
    <row r="27" spans="1:33" ht="24.75" customHeight="1" x14ac:dyDescent="0.2">
      <c r="A27" s="112"/>
      <c r="B27" s="29"/>
      <c r="C27" s="922" t="s">
        <v>261</v>
      </c>
      <c r="D27" s="923"/>
      <c r="E27" s="923"/>
      <c r="F27" s="923"/>
      <c r="G27" s="923"/>
      <c r="H27" s="923"/>
      <c r="I27" s="923"/>
      <c r="J27" s="923"/>
      <c r="K27" s="923"/>
      <c r="L27" s="924"/>
      <c r="M27" s="29"/>
      <c r="N27" s="29"/>
      <c r="O27" s="113"/>
      <c r="P27" s="29"/>
      <c r="Q27" s="29"/>
      <c r="R27" s="29"/>
      <c r="S27" s="29"/>
      <c r="T27" s="132"/>
      <c r="U27" s="132"/>
      <c r="V27" s="132"/>
      <c r="W27" s="587">
        <v>5</v>
      </c>
      <c r="X27" s="587">
        <v>0.6</v>
      </c>
      <c r="Y27" s="132"/>
      <c r="Z27" s="132"/>
      <c r="AA27" s="132"/>
      <c r="AB27" s="132"/>
      <c r="AC27" s="132"/>
      <c r="AD27" s="132"/>
      <c r="AE27" s="132"/>
      <c r="AF27" s="132"/>
      <c r="AG27" s="132"/>
    </row>
    <row r="28" spans="1:33" ht="14.25" customHeight="1" x14ac:dyDescent="0.2">
      <c r="A28" s="29"/>
      <c r="B28" s="29"/>
      <c r="C28" s="568"/>
      <c r="D28" s="29"/>
      <c r="E28" s="29"/>
      <c r="F28" s="29"/>
      <c r="G28" s="29"/>
      <c r="H28" s="29"/>
      <c r="I28" s="29"/>
      <c r="J28" s="29"/>
      <c r="K28" s="29"/>
      <c r="L28" s="569"/>
      <c r="M28" s="29"/>
      <c r="N28" s="29"/>
      <c r="O28" s="113"/>
      <c r="P28" s="595" t="s">
        <v>60</v>
      </c>
      <c r="Q28" s="29"/>
      <c r="R28" s="29"/>
      <c r="S28" s="29"/>
      <c r="T28" s="132"/>
      <c r="U28" s="132"/>
      <c r="V28" s="132"/>
      <c r="W28" s="587"/>
      <c r="X28" s="587"/>
      <c r="Y28" s="132"/>
      <c r="Z28" s="132"/>
      <c r="AA28" s="132"/>
      <c r="AB28" s="132"/>
      <c r="AC28" s="132"/>
      <c r="AD28" s="132"/>
      <c r="AE28" s="132"/>
      <c r="AF28" s="132"/>
      <c r="AG28" s="132"/>
    </row>
    <row r="29" spans="1:33" ht="26.1" customHeight="1" x14ac:dyDescent="0.25">
      <c r="A29" s="112"/>
      <c r="B29" s="29"/>
      <c r="C29" s="955" t="s">
        <v>262</v>
      </c>
      <c r="D29" s="956"/>
      <c r="E29" s="956"/>
      <c r="F29" s="956"/>
      <c r="G29" s="956"/>
      <c r="H29" s="560" t="s">
        <v>273</v>
      </c>
      <c r="I29" s="28"/>
      <c r="J29" s="120"/>
      <c r="K29" s="486" t="s">
        <v>274</v>
      </c>
      <c r="L29" s="573"/>
      <c r="M29" s="29"/>
      <c r="N29" s="29"/>
      <c r="O29" s="113"/>
      <c r="P29" s="191">
        <f>IF(L29&lt;&gt;"",1,0)</f>
        <v>0</v>
      </c>
      <c r="Q29" s="29"/>
      <c r="R29" s="29"/>
      <c r="S29" s="29"/>
      <c r="T29" s="132"/>
      <c r="U29" s="132"/>
      <c r="V29" s="132"/>
      <c r="W29" s="587">
        <v>6</v>
      </c>
      <c r="X29" s="587">
        <v>0.6</v>
      </c>
      <c r="Y29" s="132"/>
      <c r="Z29" s="132"/>
      <c r="AA29" s="132"/>
      <c r="AB29" s="132"/>
      <c r="AC29" s="132"/>
      <c r="AD29" s="132"/>
      <c r="AE29" s="132"/>
      <c r="AF29" s="132"/>
      <c r="AG29" s="132"/>
    </row>
    <row r="30" spans="1:33" ht="26.1" customHeight="1" x14ac:dyDescent="0.25">
      <c r="A30" s="112"/>
      <c r="B30" s="29"/>
      <c r="C30" s="955" t="s">
        <v>263</v>
      </c>
      <c r="D30" s="956"/>
      <c r="E30" s="956"/>
      <c r="F30" s="956"/>
      <c r="G30" s="956"/>
      <c r="H30" s="560" t="s">
        <v>273</v>
      </c>
      <c r="I30" s="183"/>
      <c r="J30" s="120"/>
      <c r="K30" s="486" t="s">
        <v>274</v>
      </c>
      <c r="L30" s="589"/>
      <c r="M30" s="29"/>
      <c r="N30" s="29"/>
      <c r="O30" s="113"/>
      <c r="P30" s="191">
        <f>IF(L30&lt;&gt;"",1,0)</f>
        <v>0</v>
      </c>
      <c r="Q30" s="29"/>
      <c r="R30" s="29"/>
      <c r="S30" s="588" t="s">
        <v>5</v>
      </c>
      <c r="T30" s="132"/>
      <c r="U30" s="132"/>
      <c r="V30" s="132"/>
      <c r="W30" s="587">
        <v>7</v>
      </c>
      <c r="X30" s="587">
        <v>1</v>
      </c>
      <c r="Y30" s="132"/>
      <c r="Z30" s="132"/>
      <c r="AA30" s="132"/>
      <c r="AB30" s="132"/>
      <c r="AC30" s="132"/>
      <c r="AD30" s="132"/>
      <c r="AE30" s="132"/>
      <c r="AF30" s="132"/>
      <c r="AG30" s="132"/>
    </row>
    <row r="31" spans="1:33" ht="26.1" customHeight="1" x14ac:dyDescent="0.25">
      <c r="A31" s="112"/>
      <c r="B31" s="29"/>
      <c r="C31" s="955" t="s">
        <v>264</v>
      </c>
      <c r="D31" s="956"/>
      <c r="E31" s="956"/>
      <c r="F31" s="956"/>
      <c r="G31" s="956"/>
      <c r="H31" s="560" t="s">
        <v>273</v>
      </c>
      <c r="I31" s="183"/>
      <c r="J31" s="120"/>
      <c r="K31" s="486" t="s">
        <v>274</v>
      </c>
      <c r="L31" s="589"/>
      <c r="M31" s="29"/>
      <c r="N31" s="29"/>
      <c r="O31" s="113"/>
      <c r="P31" s="191">
        <f>IF(L31&lt;&gt;"",1,0)</f>
        <v>0</v>
      </c>
      <c r="Q31" s="29"/>
      <c r="R31" s="29"/>
      <c r="S31" s="29"/>
      <c r="T31" s="132"/>
      <c r="U31" s="132"/>
      <c r="V31" s="132"/>
      <c r="W31" s="587">
        <v>8</v>
      </c>
      <c r="X31" s="587">
        <v>1</v>
      </c>
      <c r="Y31" s="132"/>
      <c r="Z31" s="132"/>
      <c r="AA31" s="132"/>
      <c r="AB31" s="132"/>
      <c r="AC31" s="132"/>
      <c r="AD31" s="132"/>
      <c r="AE31" s="132"/>
      <c r="AF31" s="132"/>
      <c r="AG31" s="132"/>
    </row>
    <row r="32" spans="1:33" ht="26.1" customHeight="1" x14ac:dyDescent="0.25">
      <c r="A32" s="112"/>
      <c r="B32" s="29"/>
      <c r="C32" s="955" t="s">
        <v>265</v>
      </c>
      <c r="D32" s="956"/>
      <c r="E32" s="956"/>
      <c r="F32" s="956"/>
      <c r="G32" s="956"/>
      <c r="H32" s="560" t="s">
        <v>273</v>
      </c>
      <c r="I32" s="183"/>
      <c r="J32" s="120"/>
      <c r="K32" s="486" t="s">
        <v>274</v>
      </c>
      <c r="L32" s="589"/>
      <c r="M32" s="29"/>
      <c r="N32" s="29"/>
      <c r="O32" s="113"/>
      <c r="P32" s="191">
        <f>IF(L32&lt;&gt;"",1,0)</f>
        <v>0</v>
      </c>
      <c r="Q32" s="29"/>
      <c r="R32" s="29"/>
      <c r="S32" s="29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</row>
    <row r="33" spans="1:33" ht="26.25" customHeight="1" x14ac:dyDescent="0.2">
      <c r="A33" s="29"/>
      <c r="B33" s="29"/>
      <c r="C33" s="568"/>
      <c r="D33" s="29"/>
      <c r="E33" s="29"/>
      <c r="F33" s="29"/>
      <c r="G33" s="29"/>
      <c r="H33" s="29"/>
      <c r="I33" s="29"/>
      <c r="J33" s="29"/>
      <c r="K33" s="29"/>
      <c r="L33" s="569"/>
      <c r="M33" s="29"/>
      <c r="N33" s="29"/>
      <c r="O33" s="113"/>
      <c r="P33" s="29"/>
      <c r="Q33" s="302" t="s">
        <v>312</v>
      </c>
      <c r="R33" s="29"/>
      <c r="S33" s="29"/>
      <c r="T33" s="238" t="s">
        <v>372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</row>
    <row r="34" spans="1:33" ht="26.1" customHeight="1" thickBot="1" x14ac:dyDescent="0.3">
      <c r="A34" s="112"/>
      <c r="B34" s="29"/>
      <c r="C34" s="957" t="s">
        <v>203</v>
      </c>
      <c r="D34" s="958"/>
      <c r="E34" s="958"/>
      <c r="F34" s="958"/>
      <c r="G34" s="958"/>
      <c r="H34" s="580" t="s">
        <v>273</v>
      </c>
      <c r="I34" s="571"/>
      <c r="J34" s="590"/>
      <c r="K34" s="591" t="s">
        <v>274</v>
      </c>
      <c r="L34" s="575"/>
      <c r="M34" s="29"/>
      <c r="N34" s="592"/>
      <c r="O34" s="113"/>
      <c r="P34" s="191">
        <f>IF(L34&lt;&gt;"",1,0)</f>
        <v>0</v>
      </c>
      <c r="Q34" s="619">
        <f>IF(SUM(P23:P34)&gt;0,1,0)</f>
        <v>0</v>
      </c>
      <c r="R34" s="585">
        <f>SUM(P23:P34)</f>
        <v>0</v>
      </c>
      <c r="S34" s="29"/>
      <c r="T34" s="586">
        <f>LOOKUP(R34,W22:X31)</f>
        <v>0</v>
      </c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</row>
    <row r="35" spans="1:33" ht="30" customHeight="1" thickBot="1" x14ac:dyDescent="0.25">
      <c r="A35" s="1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13"/>
      <c r="P35" s="132"/>
      <c r="Q35" s="29"/>
      <c r="R35" s="29"/>
      <c r="S35" s="29"/>
      <c r="T35" s="29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</row>
    <row r="36" spans="1:33" ht="61.5" customHeight="1" thickBot="1" x14ac:dyDescent="0.25">
      <c r="A36" s="112"/>
      <c r="B36" s="29"/>
      <c r="C36" s="990" t="s">
        <v>542</v>
      </c>
      <c r="D36" s="991"/>
      <c r="E36" s="991"/>
      <c r="F36" s="991"/>
      <c r="G36" s="991"/>
      <c r="H36" s="991"/>
      <c r="I36" s="991"/>
      <c r="J36" s="991"/>
      <c r="K36" s="991"/>
      <c r="L36" s="992"/>
      <c r="M36" s="29"/>
      <c r="N36" s="29"/>
      <c r="O36" s="113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</row>
    <row r="37" spans="1:33" ht="14.1" customHeight="1" x14ac:dyDescent="0.2">
      <c r="A37" s="112"/>
      <c r="B37" s="29"/>
      <c r="C37" s="576"/>
      <c r="D37" s="178"/>
      <c r="E37" s="178"/>
      <c r="F37" s="178"/>
      <c r="G37" s="178"/>
      <c r="H37" s="178"/>
      <c r="I37" s="178"/>
      <c r="J37" s="178"/>
      <c r="K37" s="178"/>
      <c r="L37" s="577"/>
      <c r="M37" s="29"/>
      <c r="N37" s="29"/>
      <c r="O37" s="113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</row>
    <row r="38" spans="1:33" ht="28.5" customHeight="1" x14ac:dyDescent="0.2">
      <c r="A38" s="112"/>
      <c r="B38" s="29"/>
      <c r="C38" s="922" t="s">
        <v>268</v>
      </c>
      <c r="D38" s="923"/>
      <c r="E38" s="923"/>
      <c r="F38" s="923"/>
      <c r="G38" s="923"/>
      <c r="H38" s="923"/>
      <c r="I38" s="923"/>
      <c r="J38" s="923"/>
      <c r="K38" s="923"/>
      <c r="L38" s="924"/>
      <c r="M38" s="29"/>
      <c r="N38" s="29"/>
      <c r="O38" s="113"/>
      <c r="P38" s="193" t="s">
        <v>274</v>
      </c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</row>
    <row r="39" spans="1:33" ht="9" customHeight="1" x14ac:dyDescent="0.2">
      <c r="A39" s="29"/>
      <c r="B39" s="29"/>
      <c r="C39" s="568"/>
      <c r="D39" s="29"/>
      <c r="E39" s="29"/>
      <c r="F39" s="29"/>
      <c r="G39" s="29"/>
      <c r="H39" s="29"/>
      <c r="I39" s="29"/>
      <c r="J39" s="29"/>
      <c r="K39" s="29"/>
      <c r="L39" s="569"/>
      <c r="M39" s="29"/>
      <c r="N39" s="29"/>
      <c r="O39" s="113"/>
      <c r="P39" s="135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  <row r="40" spans="1:33" ht="37.5" customHeight="1" x14ac:dyDescent="0.2">
      <c r="A40" s="112"/>
      <c r="B40" s="29"/>
      <c r="C40" s="578" t="s">
        <v>269</v>
      </c>
      <c r="D40" s="953" t="s">
        <v>296</v>
      </c>
      <c r="E40" s="953"/>
      <c r="F40" s="953"/>
      <c r="G40" s="954"/>
      <c r="H40" s="560" t="s">
        <v>273</v>
      </c>
      <c r="I40" s="28"/>
      <c r="J40" s="145"/>
      <c r="K40" s="559" t="s">
        <v>274</v>
      </c>
      <c r="L40" s="573"/>
      <c r="M40" s="29"/>
      <c r="N40" s="29"/>
      <c r="O40" s="113"/>
      <c r="P40" s="191">
        <f t="shared" ref="P40:P46" si="0">IF(L40&lt;&gt;"",1,0)</f>
        <v>0</v>
      </c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</row>
    <row r="41" spans="1:33" ht="37.5" customHeight="1" x14ac:dyDescent="0.2">
      <c r="A41" s="112"/>
      <c r="B41" s="29"/>
      <c r="C41" s="578" t="s">
        <v>270</v>
      </c>
      <c r="D41" s="953" t="s">
        <v>295</v>
      </c>
      <c r="E41" s="953"/>
      <c r="F41" s="953"/>
      <c r="G41" s="954"/>
      <c r="H41" s="560" t="s">
        <v>273</v>
      </c>
      <c r="I41" s="28"/>
      <c r="J41" s="145"/>
      <c r="K41" s="559" t="s">
        <v>274</v>
      </c>
      <c r="L41" s="573"/>
      <c r="M41" s="29"/>
      <c r="N41" s="29"/>
      <c r="O41" s="113"/>
      <c r="P41" s="191">
        <f t="shared" si="0"/>
        <v>0</v>
      </c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</row>
    <row r="42" spans="1:33" ht="37.5" customHeight="1" x14ac:dyDescent="0.2">
      <c r="A42" s="112"/>
      <c r="B42" s="29"/>
      <c r="C42" s="578" t="s">
        <v>61</v>
      </c>
      <c r="D42" s="953" t="s">
        <v>297</v>
      </c>
      <c r="E42" s="953"/>
      <c r="F42" s="953"/>
      <c r="G42" s="954"/>
      <c r="H42" s="560" t="s">
        <v>273</v>
      </c>
      <c r="I42" s="28"/>
      <c r="J42" s="145"/>
      <c r="K42" s="559" t="s">
        <v>274</v>
      </c>
      <c r="L42" s="573"/>
      <c r="M42" s="29"/>
      <c r="N42" s="29"/>
      <c r="O42" s="113"/>
      <c r="P42" s="191">
        <f t="shared" si="0"/>
        <v>0</v>
      </c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</row>
    <row r="43" spans="1:33" ht="26.1" customHeight="1" x14ac:dyDescent="0.2">
      <c r="A43" s="112"/>
      <c r="B43" s="29"/>
      <c r="C43" s="578" t="s">
        <v>271</v>
      </c>
      <c r="D43" s="953" t="s">
        <v>298</v>
      </c>
      <c r="E43" s="953"/>
      <c r="F43" s="953"/>
      <c r="G43" s="954"/>
      <c r="H43" s="560" t="s">
        <v>273</v>
      </c>
      <c r="I43" s="28"/>
      <c r="J43" s="145"/>
      <c r="K43" s="559" t="s">
        <v>274</v>
      </c>
      <c r="L43" s="573"/>
      <c r="M43" s="29"/>
      <c r="N43" s="29"/>
      <c r="O43" s="113"/>
      <c r="P43" s="191">
        <f t="shared" si="0"/>
        <v>0</v>
      </c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</row>
    <row r="44" spans="1:33" ht="36.75" customHeight="1" x14ac:dyDescent="0.2">
      <c r="A44" s="112"/>
      <c r="B44" s="29"/>
      <c r="C44" s="993" t="s">
        <v>62</v>
      </c>
      <c r="D44" s="953" t="s">
        <v>299</v>
      </c>
      <c r="E44" s="953"/>
      <c r="F44" s="953"/>
      <c r="G44" s="954"/>
      <c r="H44" s="560" t="s">
        <v>273</v>
      </c>
      <c r="I44" s="28"/>
      <c r="J44" s="145"/>
      <c r="K44" s="559" t="s">
        <v>274</v>
      </c>
      <c r="L44" s="573"/>
      <c r="M44" s="29"/>
      <c r="N44" s="29"/>
      <c r="O44" s="113"/>
      <c r="P44" s="191">
        <f t="shared" si="0"/>
        <v>0</v>
      </c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</row>
    <row r="45" spans="1:33" ht="40.5" customHeight="1" x14ac:dyDescent="0.2">
      <c r="A45" s="112"/>
      <c r="B45" s="29"/>
      <c r="C45" s="994"/>
      <c r="D45" s="953" t="s">
        <v>300</v>
      </c>
      <c r="E45" s="953"/>
      <c r="F45" s="953"/>
      <c r="G45" s="954"/>
      <c r="H45" s="560" t="s">
        <v>273</v>
      </c>
      <c r="I45" s="28"/>
      <c r="J45" s="145"/>
      <c r="K45" s="559" t="s">
        <v>274</v>
      </c>
      <c r="L45" s="573"/>
      <c r="M45" s="29"/>
      <c r="N45" s="29"/>
      <c r="O45" s="113"/>
      <c r="P45" s="191">
        <f t="shared" si="0"/>
        <v>0</v>
      </c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</row>
    <row r="46" spans="1:33" ht="44.25" customHeight="1" x14ac:dyDescent="0.2">
      <c r="A46" s="112"/>
      <c r="B46" s="29"/>
      <c r="C46" s="994"/>
      <c r="D46" s="953" t="s">
        <v>301</v>
      </c>
      <c r="E46" s="953"/>
      <c r="F46" s="953"/>
      <c r="G46" s="954"/>
      <c r="H46" s="560" t="s">
        <v>273</v>
      </c>
      <c r="I46" s="28"/>
      <c r="J46" s="145"/>
      <c r="K46" s="559" t="s">
        <v>274</v>
      </c>
      <c r="L46" s="573"/>
      <c r="M46" s="29"/>
      <c r="N46" s="29"/>
      <c r="O46" s="113"/>
      <c r="P46" s="191">
        <f t="shared" si="0"/>
        <v>0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</row>
    <row r="47" spans="1:33" ht="16.5" customHeight="1" x14ac:dyDescent="0.2">
      <c r="A47" s="112"/>
      <c r="B47" s="29"/>
      <c r="C47" s="576"/>
      <c r="D47" s="178"/>
      <c r="E47" s="178"/>
      <c r="F47" s="178"/>
      <c r="G47" s="178"/>
      <c r="H47" s="178"/>
      <c r="I47" s="178"/>
      <c r="J47" s="178"/>
      <c r="K47" s="178"/>
      <c r="L47" s="577"/>
      <c r="M47" s="29"/>
      <c r="N47" s="29"/>
      <c r="O47" s="113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</row>
    <row r="48" spans="1:33" ht="28.5" customHeight="1" x14ac:dyDescent="0.2">
      <c r="A48" s="112"/>
      <c r="B48" s="29"/>
      <c r="C48" s="922" t="s">
        <v>275</v>
      </c>
      <c r="D48" s="923"/>
      <c r="E48" s="923"/>
      <c r="F48" s="923"/>
      <c r="G48" s="923"/>
      <c r="H48" s="923"/>
      <c r="I48" s="923"/>
      <c r="J48" s="923"/>
      <c r="K48" s="923"/>
      <c r="L48" s="924"/>
      <c r="M48" s="29"/>
      <c r="N48" s="29"/>
      <c r="O48" s="113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</row>
    <row r="49" spans="1:35" ht="9" customHeight="1" x14ac:dyDescent="0.2">
      <c r="A49" s="29"/>
      <c r="B49" s="29"/>
      <c r="C49" s="568"/>
      <c r="D49" s="29"/>
      <c r="E49" s="29"/>
      <c r="F49" s="29"/>
      <c r="G49" s="29"/>
      <c r="H49" s="29"/>
      <c r="I49" s="29"/>
      <c r="J49" s="29"/>
      <c r="K49" s="29"/>
      <c r="L49" s="569"/>
      <c r="M49" s="29"/>
      <c r="N49" s="29"/>
      <c r="O49" s="113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</row>
    <row r="50" spans="1:35" ht="24" customHeight="1" x14ac:dyDescent="0.25">
      <c r="A50" s="112"/>
      <c r="B50" s="29"/>
      <c r="C50" s="578" t="s">
        <v>276</v>
      </c>
      <c r="D50" s="960" t="s">
        <v>2</v>
      </c>
      <c r="E50" s="960"/>
      <c r="F50" s="960"/>
      <c r="G50" s="961"/>
      <c r="H50" s="560" t="s">
        <v>273</v>
      </c>
      <c r="I50" s="28"/>
      <c r="J50" s="146"/>
      <c r="K50" s="561" t="s">
        <v>274</v>
      </c>
      <c r="L50" s="573"/>
      <c r="M50" s="29"/>
      <c r="N50" s="29"/>
      <c r="O50" s="113"/>
      <c r="P50" s="191">
        <f>IF(L50&lt;&gt;"",1,0)</f>
        <v>0</v>
      </c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</row>
    <row r="51" spans="1:35" ht="24.75" x14ac:dyDescent="0.25">
      <c r="A51" s="112"/>
      <c r="B51" s="29"/>
      <c r="C51" s="578" t="s">
        <v>277</v>
      </c>
      <c r="D51" s="960" t="s">
        <v>3</v>
      </c>
      <c r="E51" s="960"/>
      <c r="F51" s="960"/>
      <c r="G51" s="961"/>
      <c r="H51" s="560" t="s">
        <v>273</v>
      </c>
      <c r="I51" s="28"/>
      <c r="J51" s="146"/>
      <c r="K51" s="561" t="s">
        <v>274</v>
      </c>
      <c r="L51" s="573"/>
      <c r="M51" s="29"/>
      <c r="N51" s="29"/>
      <c r="O51" s="113"/>
      <c r="P51" s="191">
        <f>IF(L51&lt;&gt;"",1,0)</f>
        <v>0</v>
      </c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</row>
    <row r="52" spans="1:35" ht="24.75" x14ac:dyDescent="0.25">
      <c r="A52" s="112"/>
      <c r="B52" s="29"/>
      <c r="C52" s="578" t="s">
        <v>278</v>
      </c>
      <c r="D52" s="960" t="s">
        <v>3</v>
      </c>
      <c r="E52" s="960"/>
      <c r="F52" s="960"/>
      <c r="G52" s="961"/>
      <c r="H52" s="560" t="s">
        <v>273</v>
      </c>
      <c r="I52" s="28"/>
      <c r="J52" s="146"/>
      <c r="K52" s="561" t="s">
        <v>274</v>
      </c>
      <c r="L52" s="573"/>
      <c r="M52" s="29"/>
      <c r="N52" s="29"/>
      <c r="O52" s="113"/>
      <c r="P52" s="191">
        <f>IF(L52&lt;&gt;"",1,0)</f>
        <v>0</v>
      </c>
      <c r="Q52" s="135" t="s">
        <v>302</v>
      </c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</row>
    <row r="53" spans="1:35" ht="25.5" thickBot="1" x14ac:dyDescent="0.3">
      <c r="A53" s="112"/>
      <c r="B53" s="29"/>
      <c r="C53" s="579" t="s">
        <v>279</v>
      </c>
      <c r="D53" s="966" t="s">
        <v>4</v>
      </c>
      <c r="E53" s="966"/>
      <c r="F53" s="966"/>
      <c r="G53" s="967"/>
      <c r="H53" s="580" t="s">
        <v>273</v>
      </c>
      <c r="I53" s="571"/>
      <c r="J53" s="581"/>
      <c r="K53" s="582" t="s">
        <v>274</v>
      </c>
      <c r="L53" s="575"/>
      <c r="M53" s="29"/>
      <c r="N53" s="134"/>
      <c r="O53" s="113"/>
      <c r="P53" s="191">
        <f>IF(L53&lt;&gt;"",1,0)</f>
        <v>0</v>
      </c>
      <c r="Q53" s="593">
        <f>IF(SUM(P40:P53)&gt;0,1,0)</f>
        <v>0</v>
      </c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</row>
    <row r="54" spans="1:35" ht="30" customHeight="1" thickBot="1" x14ac:dyDescent="0.45">
      <c r="A54" s="112"/>
      <c r="B54" s="29"/>
      <c r="C54" s="147"/>
      <c r="D54" s="29"/>
      <c r="E54" s="29"/>
      <c r="F54" s="29"/>
      <c r="G54" s="29"/>
      <c r="H54" s="139"/>
      <c r="I54" s="141"/>
      <c r="J54" s="29"/>
      <c r="K54" s="139"/>
      <c r="L54" s="141"/>
      <c r="M54" s="29"/>
      <c r="N54" s="29"/>
      <c r="O54" s="113"/>
      <c r="P54" s="29"/>
      <c r="Q54" s="29"/>
      <c r="R54" s="132"/>
      <c r="S54" s="136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132"/>
      <c r="AE54" s="132"/>
      <c r="AF54" s="132"/>
      <c r="AG54" s="132"/>
    </row>
    <row r="55" spans="1:35" s="2" customFormat="1" ht="80.25" customHeight="1" thickBot="1" x14ac:dyDescent="0.25">
      <c r="A55" s="112"/>
      <c r="B55" s="29"/>
      <c r="C55" s="984" t="s">
        <v>575</v>
      </c>
      <c r="D55" s="985"/>
      <c r="E55" s="985"/>
      <c r="F55" s="985"/>
      <c r="G55" s="985"/>
      <c r="H55" s="985"/>
      <c r="I55" s="985"/>
      <c r="J55" s="985"/>
      <c r="K55" s="985"/>
      <c r="L55" s="986"/>
      <c r="M55" s="29"/>
      <c r="N55" s="29"/>
      <c r="O55" s="113"/>
      <c r="P55" s="220" t="s">
        <v>304</v>
      </c>
      <c r="Q55" s="566">
        <f>IF(SUM(P57,P64,P71)=0,0,1)</f>
        <v>0</v>
      </c>
      <c r="R55" s="29"/>
      <c r="S55" s="29"/>
      <c r="T55" s="29"/>
      <c r="U55" s="29"/>
      <c r="V55" s="29"/>
      <c r="W55" s="181" t="s">
        <v>316</v>
      </c>
      <c r="X55" s="202">
        <f>1</f>
        <v>1</v>
      </c>
      <c r="Y55" s="29"/>
      <c r="Z55" s="29"/>
      <c r="AA55" s="29"/>
      <c r="AB55" s="29"/>
      <c r="AC55" s="29"/>
      <c r="AD55" s="29"/>
      <c r="AE55" s="132"/>
      <c r="AF55" s="132"/>
      <c r="AG55" s="132"/>
    </row>
    <row r="56" spans="1:35" s="2" customFormat="1" ht="27" customHeight="1" x14ac:dyDescent="0.2">
      <c r="A56" s="112"/>
      <c r="B56" s="29"/>
      <c r="C56" s="568"/>
      <c r="D56" s="29"/>
      <c r="E56" s="29"/>
      <c r="F56" s="29"/>
      <c r="G56" s="29"/>
      <c r="H56" s="982" t="str">
        <f>IF(Q55=0,"Please, mark by 'X' the weight category present","")</f>
        <v>Please, mark by 'X' the weight category present</v>
      </c>
      <c r="I56" s="982"/>
      <c r="J56" s="982"/>
      <c r="K56" s="982"/>
      <c r="L56" s="983"/>
      <c r="M56" s="29"/>
      <c r="N56" s="29"/>
      <c r="O56" s="113"/>
      <c r="P56" s="192" t="s">
        <v>274</v>
      </c>
      <c r="Q56" s="996" t="s">
        <v>317</v>
      </c>
      <c r="R56" s="996"/>
      <c r="S56" s="132"/>
      <c r="T56" s="195" t="s">
        <v>306</v>
      </c>
      <c r="U56" s="149"/>
      <c r="V56" s="132"/>
      <c r="W56" s="194"/>
      <c r="X56" s="205" t="s">
        <v>327</v>
      </c>
      <c r="Y56" s="206" t="s">
        <v>315</v>
      </c>
      <c r="Z56" s="206" t="s">
        <v>323</v>
      </c>
      <c r="AA56" s="206" t="s">
        <v>324</v>
      </c>
      <c r="AB56" s="206" t="s">
        <v>325</v>
      </c>
      <c r="AC56" s="206" t="s">
        <v>326</v>
      </c>
      <c r="AD56" s="205" t="s">
        <v>313</v>
      </c>
      <c r="AE56" s="132"/>
      <c r="AF56" s="132"/>
      <c r="AG56" s="132"/>
    </row>
    <row r="57" spans="1:35" s="2" customFormat="1" ht="29.25" customHeight="1" x14ac:dyDescent="0.25">
      <c r="A57" s="112"/>
      <c r="B57" s="29"/>
      <c r="C57" s="972" t="s">
        <v>284</v>
      </c>
      <c r="D57" s="943"/>
      <c r="E57" s="943"/>
      <c r="F57" s="943"/>
      <c r="G57" s="944"/>
      <c r="H57" s="180" t="s">
        <v>273</v>
      </c>
      <c r="I57" s="28"/>
      <c r="J57" s="145"/>
      <c r="K57" s="180" t="s">
        <v>274</v>
      </c>
      <c r="L57" s="573"/>
      <c r="M57" s="29"/>
      <c r="N57" s="29"/>
      <c r="O57" s="113"/>
      <c r="P57" s="309">
        <f>IF(L57&lt;&gt;"",1,0)</f>
        <v>0</v>
      </c>
      <c r="Q57" s="201">
        <v>4</v>
      </c>
      <c r="R57" s="187"/>
      <c r="S57" s="29"/>
      <c r="T57" s="196" t="s">
        <v>307</v>
      </c>
      <c r="U57" s="186">
        <f>IF(SUM(P50:P53)&gt;0,1,0)</f>
        <v>0</v>
      </c>
      <c r="V57" s="29">
        <v>1</v>
      </c>
      <c r="W57" s="212" t="s">
        <v>314</v>
      </c>
      <c r="X57" s="207">
        <v>25</v>
      </c>
      <c r="Y57" s="207">
        <f ca="1">IF(OFFSET($P$56,X55+4,0)*OFFSET($Q$56,X55+4,0)&gt;0,OFFSET($Q$56,X55+4,0),1)</f>
        <v>1</v>
      </c>
      <c r="Z57" s="207">
        <f ca="1">IF(OFFSET($P$56,X55+3,0)*OFFSET($Q$56,X55+3,0)&gt;0,OFFSET($Q$56,X55+3,0),1)</f>
        <v>1</v>
      </c>
      <c r="AA57" s="207">
        <f ca="1">IF(OFFSET($P$56,X55+2,0)*OFFSET($Q$56,X55+2,0)&gt;0,OFFSET($Q$56,X55+2,0),1)</f>
        <v>1</v>
      </c>
      <c r="AB57" s="207">
        <v>0.9</v>
      </c>
      <c r="AC57" s="207">
        <f ca="1">IF(OFFSET($P$56,X55+5,0)*OFFSET($Q$56,X55+5,0)&gt;0,OFFSET($Q$56,X55+5,0),1)</f>
        <v>1</v>
      </c>
      <c r="AD57" s="208">
        <f ca="1">X57*Y57*Z57*AA57*AB57*AC57</f>
        <v>22.5</v>
      </c>
      <c r="AE57" s="132"/>
      <c r="AF57" s="132"/>
      <c r="AG57" s="132"/>
    </row>
    <row r="58" spans="1:35" s="2" customFormat="1" ht="15" customHeight="1" x14ac:dyDescent="0.2">
      <c r="A58" s="112"/>
      <c r="B58" s="29"/>
      <c r="C58" s="568"/>
      <c r="D58" s="29"/>
      <c r="E58" s="29"/>
      <c r="F58" s="29"/>
      <c r="G58" s="29"/>
      <c r="H58" s="29"/>
      <c r="I58" s="29"/>
      <c r="J58" s="29"/>
      <c r="K58" s="29"/>
      <c r="L58" s="569"/>
      <c r="M58" s="29"/>
      <c r="N58" s="29"/>
      <c r="O58" s="113"/>
      <c r="P58" s="187" t="s">
        <v>60</v>
      </c>
      <c r="Q58" s="187"/>
      <c r="R58" s="187"/>
      <c r="S58" s="29"/>
      <c r="T58" s="150"/>
      <c r="U58" s="150"/>
      <c r="V58" s="29">
        <v>2</v>
      </c>
      <c r="W58" s="213" t="s">
        <v>328</v>
      </c>
      <c r="X58" s="208">
        <f>Q57</f>
        <v>4</v>
      </c>
      <c r="Y58" s="190"/>
      <c r="Z58" s="190"/>
      <c r="AA58" s="190"/>
      <c r="AB58" s="190"/>
      <c r="AC58" s="190"/>
      <c r="AD58" s="190"/>
      <c r="AE58" s="132"/>
      <c r="AF58" s="132"/>
      <c r="AG58" s="132"/>
    </row>
    <row r="59" spans="1:35" s="2" customFormat="1" ht="27.75" customHeight="1" thickBot="1" x14ac:dyDescent="0.25">
      <c r="A59" s="112"/>
      <c r="B59" s="29"/>
      <c r="C59" s="973" t="s">
        <v>285</v>
      </c>
      <c r="D59" s="971" t="s">
        <v>280</v>
      </c>
      <c r="E59" s="971"/>
      <c r="F59" s="971"/>
      <c r="G59" s="971"/>
      <c r="H59" s="599" t="s">
        <v>273</v>
      </c>
      <c r="I59" s="472"/>
      <c r="J59" s="103"/>
      <c r="K59" s="484" t="s">
        <v>274</v>
      </c>
      <c r="L59" s="574"/>
      <c r="M59" s="29"/>
      <c r="N59" s="29"/>
      <c r="O59" s="113"/>
      <c r="P59" s="567">
        <f>IF(L59&lt;&gt;"",1,0)</f>
        <v>0</v>
      </c>
      <c r="Q59" s="203">
        <v>0.81</v>
      </c>
      <c r="R59" s="204" t="s">
        <v>321</v>
      </c>
      <c r="S59" s="29"/>
      <c r="T59" s="157" t="s">
        <v>308</v>
      </c>
      <c r="U59" s="197">
        <f>IF(I71&lt;&gt;"",1,0)</f>
        <v>0</v>
      </c>
      <c r="V59" s="29">
        <v>3</v>
      </c>
      <c r="W59" s="214"/>
      <c r="X59" s="29"/>
      <c r="Y59" s="29"/>
      <c r="Z59" s="29"/>
      <c r="AA59" s="29"/>
      <c r="AB59" s="29"/>
      <c r="AC59" s="29"/>
      <c r="AD59" s="29"/>
      <c r="AE59" s="132"/>
      <c r="AF59" s="132"/>
      <c r="AG59" s="132"/>
    </row>
    <row r="60" spans="1:35" s="2" customFormat="1" ht="21.75" customHeight="1" thickBot="1" x14ac:dyDescent="0.3">
      <c r="A60" s="112"/>
      <c r="B60" s="29"/>
      <c r="C60" s="974"/>
      <c r="D60" s="971" t="s">
        <v>281</v>
      </c>
      <c r="E60" s="971"/>
      <c r="F60" s="971"/>
      <c r="G60" s="971"/>
      <c r="H60" s="599" t="s">
        <v>273</v>
      </c>
      <c r="I60" s="473"/>
      <c r="J60" s="103"/>
      <c r="K60" s="484" t="s">
        <v>274</v>
      </c>
      <c r="L60" s="574"/>
      <c r="M60" s="29"/>
      <c r="N60" s="29"/>
      <c r="O60" s="113"/>
      <c r="P60" s="567">
        <f>IF(L60&lt;&gt;"",1,0)</f>
        <v>0</v>
      </c>
      <c r="Q60" s="203">
        <v>0.56000000000000005</v>
      </c>
      <c r="R60" s="204" t="s">
        <v>320</v>
      </c>
      <c r="S60" s="29"/>
      <c r="T60" s="185" t="s">
        <v>309</v>
      </c>
      <c r="U60" s="197">
        <f>U57*U59</f>
        <v>0</v>
      </c>
      <c r="V60" s="29">
        <v>4</v>
      </c>
      <c r="W60" s="213" t="s">
        <v>329</v>
      </c>
      <c r="X60" s="209">
        <f ca="1">X58/AD57</f>
        <v>0.17777777777777778</v>
      </c>
      <c r="Y60" s="120"/>
      <c r="Z60" s="120"/>
      <c r="AA60" s="120"/>
      <c r="AB60" s="120"/>
      <c r="AC60" s="120"/>
      <c r="AD60" s="120"/>
      <c r="AE60" s="132"/>
      <c r="AF60" s="132"/>
      <c r="AG60" s="132"/>
    </row>
    <row r="61" spans="1:35" s="2" customFormat="1" ht="21.75" customHeight="1" thickBot="1" x14ac:dyDescent="0.3">
      <c r="A61" s="112"/>
      <c r="B61" s="29"/>
      <c r="C61" s="974"/>
      <c r="D61" s="971" t="s">
        <v>282</v>
      </c>
      <c r="E61" s="971"/>
      <c r="F61" s="971"/>
      <c r="G61" s="971"/>
      <c r="H61" s="599" t="s">
        <v>273</v>
      </c>
      <c r="I61" s="473"/>
      <c r="J61" s="103"/>
      <c r="K61" s="484" t="s">
        <v>274</v>
      </c>
      <c r="L61" s="574"/>
      <c r="M61" s="29"/>
      <c r="N61" s="29"/>
      <c r="O61" s="113"/>
      <c r="P61" s="567">
        <f>IF(L61&lt;&gt;"",1,0)</f>
        <v>0</v>
      </c>
      <c r="Q61" s="203">
        <v>0.78</v>
      </c>
      <c r="R61" s="204" t="s">
        <v>319</v>
      </c>
      <c r="S61" s="187" t="s">
        <v>322</v>
      </c>
      <c r="T61" s="157" t="s">
        <v>303</v>
      </c>
      <c r="U61" s="115"/>
      <c r="V61" s="29">
        <v>5</v>
      </c>
      <c r="W61" s="215" t="s">
        <v>331</v>
      </c>
      <c r="X61" s="216" t="str">
        <f>IF(P57=1,((1-0.1)*X60/3)+0.1,"")</f>
        <v/>
      </c>
      <c r="Y61" s="120"/>
      <c r="Z61" s="120"/>
      <c r="AA61" s="120"/>
      <c r="AB61" s="120"/>
      <c r="AC61" s="120"/>
      <c r="AD61" s="120"/>
      <c r="AE61" s="132"/>
      <c r="AF61" s="132"/>
      <c r="AG61" s="132"/>
      <c r="AI61" s="565"/>
    </row>
    <row r="62" spans="1:35" s="2" customFormat="1" ht="21.75" customHeight="1" x14ac:dyDescent="0.2">
      <c r="A62" s="112"/>
      <c r="B62" s="29"/>
      <c r="C62" s="975"/>
      <c r="D62" s="971" t="s">
        <v>283</v>
      </c>
      <c r="E62" s="971"/>
      <c r="F62" s="971"/>
      <c r="G62" s="971"/>
      <c r="H62" s="599" t="s">
        <v>273</v>
      </c>
      <c r="I62" s="474"/>
      <c r="J62" s="103"/>
      <c r="K62" s="484" t="s">
        <v>274</v>
      </c>
      <c r="L62" s="574"/>
      <c r="M62" s="29"/>
      <c r="N62" s="29"/>
      <c r="O62" s="113"/>
      <c r="P62" s="567">
        <f>IF(L62&lt;&gt;"",1,0)</f>
        <v>0</v>
      </c>
      <c r="Q62" s="203">
        <v>0.65</v>
      </c>
      <c r="R62" s="204" t="s">
        <v>318</v>
      </c>
      <c r="S62" s="189">
        <f>SUM(P59:P62)*P57</f>
        <v>0</v>
      </c>
      <c r="T62" s="566">
        <f>IF(OR(P57=0,P57*S62=4),1,0)</f>
        <v>1</v>
      </c>
      <c r="U62" s="29"/>
      <c r="V62" s="29">
        <v>6</v>
      </c>
      <c r="W62" s="29"/>
      <c r="X62" s="29"/>
      <c r="Y62" s="29"/>
      <c r="Z62" s="29"/>
      <c r="AA62" s="29"/>
      <c r="AB62" s="29"/>
      <c r="AC62" s="29"/>
      <c r="AD62" s="29"/>
      <c r="AE62" s="132"/>
      <c r="AF62" s="132"/>
      <c r="AG62" s="132"/>
    </row>
    <row r="63" spans="1:35" s="2" customFormat="1" ht="18" customHeight="1" x14ac:dyDescent="0.2">
      <c r="A63" s="112"/>
      <c r="B63" s="29"/>
      <c r="C63" s="568"/>
      <c r="D63" s="29"/>
      <c r="E63" s="29"/>
      <c r="F63" s="29"/>
      <c r="G63" s="29"/>
      <c r="H63" s="29"/>
      <c r="I63" s="29"/>
      <c r="J63" s="29"/>
      <c r="K63" s="29"/>
      <c r="L63" s="569"/>
      <c r="M63" s="29"/>
      <c r="N63" s="29"/>
      <c r="O63" s="113"/>
      <c r="P63" s="192" t="s">
        <v>274</v>
      </c>
      <c r="Q63" s="996" t="s">
        <v>317</v>
      </c>
      <c r="R63" s="996"/>
      <c r="S63" s="29"/>
      <c r="T63" s="29"/>
      <c r="U63" s="29"/>
      <c r="V63" s="29">
        <v>7</v>
      </c>
      <c r="W63" s="29"/>
      <c r="X63" s="29"/>
      <c r="Y63" s="29"/>
      <c r="Z63" s="29"/>
      <c r="AA63" s="29"/>
      <c r="AB63" s="29"/>
      <c r="AC63" s="29"/>
      <c r="AD63" s="29"/>
      <c r="AE63" s="132"/>
      <c r="AF63" s="132"/>
      <c r="AG63" s="132"/>
    </row>
    <row r="64" spans="1:35" s="2" customFormat="1" ht="21" customHeight="1" x14ac:dyDescent="0.2">
      <c r="A64" s="112"/>
      <c r="B64" s="29"/>
      <c r="C64" s="972" t="s">
        <v>286</v>
      </c>
      <c r="D64" s="943"/>
      <c r="E64" s="943"/>
      <c r="F64" s="943"/>
      <c r="G64" s="944"/>
      <c r="H64" s="180" t="s">
        <v>273</v>
      </c>
      <c r="I64" s="28"/>
      <c r="J64" s="145"/>
      <c r="K64" s="180" t="s">
        <v>274</v>
      </c>
      <c r="L64" s="573"/>
      <c r="M64" s="29"/>
      <c r="N64" s="29"/>
      <c r="O64" s="113"/>
      <c r="P64" s="309">
        <f>IF(L64&lt;&gt;"",1,0)</f>
        <v>0</v>
      </c>
      <c r="Q64" s="201">
        <v>7</v>
      </c>
      <c r="R64" s="187"/>
      <c r="S64" s="29"/>
      <c r="T64" s="29"/>
      <c r="U64" s="29"/>
      <c r="V64" s="29">
        <v>8</v>
      </c>
      <c r="W64" s="181" t="s">
        <v>316</v>
      </c>
      <c r="X64" s="202">
        <v>8</v>
      </c>
      <c r="Y64" s="29"/>
      <c r="Z64" s="29"/>
      <c r="AA64" s="29"/>
      <c r="AB64" s="29"/>
      <c r="AC64" s="29"/>
      <c r="AD64" s="29"/>
      <c r="AE64" s="132"/>
      <c r="AF64" s="132"/>
      <c r="AG64" s="132"/>
    </row>
    <row r="65" spans="1:33" s="2" customFormat="1" ht="15.75" customHeight="1" x14ac:dyDescent="0.2">
      <c r="A65" s="112"/>
      <c r="B65" s="29"/>
      <c r="C65" s="568"/>
      <c r="D65" s="29"/>
      <c r="E65" s="29"/>
      <c r="F65" s="29"/>
      <c r="G65" s="29"/>
      <c r="H65" s="29"/>
      <c r="I65" s="29"/>
      <c r="J65" s="29"/>
      <c r="K65" s="29"/>
      <c r="L65" s="569"/>
      <c r="M65" s="29"/>
      <c r="N65" s="29"/>
      <c r="O65" s="113"/>
      <c r="P65" s="187" t="s">
        <v>60</v>
      </c>
      <c r="Q65" s="187"/>
      <c r="R65" s="187"/>
      <c r="S65" s="29"/>
      <c r="T65" s="29"/>
      <c r="U65" s="29"/>
      <c r="V65" s="29">
        <v>9</v>
      </c>
      <c r="W65" s="194"/>
      <c r="X65" s="205" t="s">
        <v>327</v>
      </c>
      <c r="Y65" s="206" t="s">
        <v>315</v>
      </c>
      <c r="Z65" s="206" t="s">
        <v>323</v>
      </c>
      <c r="AA65" s="206" t="s">
        <v>324</v>
      </c>
      <c r="AB65" s="206" t="s">
        <v>325</v>
      </c>
      <c r="AC65" s="206" t="s">
        <v>326</v>
      </c>
      <c r="AD65" s="205" t="s">
        <v>313</v>
      </c>
      <c r="AE65" s="132"/>
      <c r="AF65" s="132"/>
      <c r="AG65" s="132"/>
    </row>
    <row r="66" spans="1:33" s="2" customFormat="1" ht="22.5" customHeight="1" x14ac:dyDescent="0.25">
      <c r="A66" s="112"/>
      <c r="B66" s="29"/>
      <c r="C66" s="973" t="s">
        <v>593</v>
      </c>
      <c r="D66" s="971" t="s">
        <v>280</v>
      </c>
      <c r="E66" s="971"/>
      <c r="F66" s="971"/>
      <c r="G66" s="976"/>
      <c r="H66" s="598" t="s">
        <v>273</v>
      </c>
      <c r="I66" s="28"/>
      <c r="J66" s="145"/>
      <c r="K66" s="484" t="s">
        <v>274</v>
      </c>
      <c r="L66" s="573"/>
      <c r="M66" s="29"/>
      <c r="N66" s="29"/>
      <c r="O66" s="113"/>
      <c r="P66" s="567">
        <f>IF(L66&lt;&gt;"",1,0)</f>
        <v>0</v>
      </c>
      <c r="Q66" s="203">
        <v>0.81</v>
      </c>
      <c r="R66" s="204" t="s">
        <v>321</v>
      </c>
      <c r="S66" s="29"/>
      <c r="T66" s="29"/>
      <c r="U66" s="29"/>
      <c r="V66" s="29">
        <v>10</v>
      </c>
      <c r="W66" s="212" t="s">
        <v>314</v>
      </c>
      <c r="X66" s="207">
        <v>25</v>
      </c>
      <c r="Y66" s="207">
        <f ca="1">IF(OFFSET($P$56,X64+4,0)*OFFSET($Q$56,X64+4,0)&gt;0,OFFSET($Q$56,X64+4,0),1)</f>
        <v>1</v>
      </c>
      <c r="Z66" s="207">
        <f ca="1">IF(OFFSET($P$56,X64+3,0)*OFFSET($Q$56,X64+3,0)&gt;0,OFFSET($Q$56,X64+3,0),1)</f>
        <v>1</v>
      </c>
      <c r="AA66" s="207">
        <f ca="1">IF(OFFSET($P$56,X64+2,0)*OFFSET($Q$56,X64+2,0)&gt;0,OFFSET($Q$56,X64+2,0),1)</f>
        <v>1</v>
      </c>
      <c r="AB66" s="207">
        <v>0.9</v>
      </c>
      <c r="AC66" s="207">
        <f ca="1">IF(OFFSET($P$56,X64+5,0)*OFFSET($Q$56,X64+5,0)&gt;0,OFFSET($Q$56,X64+5,0),1)</f>
        <v>1</v>
      </c>
      <c r="AD66" s="208">
        <f ca="1">X66*Y66*Z66*AA66*AB66*AC66</f>
        <v>22.5</v>
      </c>
      <c r="AE66" s="132"/>
      <c r="AF66" s="132"/>
      <c r="AG66" s="132"/>
    </row>
    <row r="67" spans="1:33" s="2" customFormat="1" ht="33.75" customHeight="1" x14ac:dyDescent="0.2">
      <c r="A67" s="112"/>
      <c r="B67" s="29"/>
      <c r="C67" s="974"/>
      <c r="D67" s="971" t="s">
        <v>281</v>
      </c>
      <c r="E67" s="971"/>
      <c r="F67" s="971"/>
      <c r="G67" s="976"/>
      <c r="H67" s="598" t="s">
        <v>273</v>
      </c>
      <c r="I67" s="28"/>
      <c r="J67" s="145"/>
      <c r="K67" s="484" t="s">
        <v>274</v>
      </c>
      <c r="L67" s="573"/>
      <c r="M67" s="29"/>
      <c r="N67" s="29"/>
      <c r="O67" s="113"/>
      <c r="P67" s="567">
        <f>IF(L67&lt;&gt;"",1,0)</f>
        <v>0</v>
      </c>
      <c r="Q67" s="203">
        <v>0.56000000000000005</v>
      </c>
      <c r="R67" s="204" t="s">
        <v>320</v>
      </c>
      <c r="S67" s="136"/>
      <c r="T67" s="138"/>
      <c r="U67" s="115"/>
      <c r="V67" s="29">
        <v>11</v>
      </c>
      <c r="W67" s="213" t="s">
        <v>328</v>
      </c>
      <c r="X67" s="208">
        <f>Q64</f>
        <v>7</v>
      </c>
      <c r="Y67" s="190"/>
      <c r="Z67" s="190"/>
      <c r="AA67" s="190"/>
      <c r="AB67" s="190"/>
      <c r="AC67" s="190"/>
      <c r="AD67" s="190"/>
      <c r="AE67" s="132"/>
      <c r="AF67" s="132"/>
      <c r="AG67" s="132"/>
    </row>
    <row r="68" spans="1:33" s="2" customFormat="1" ht="21.75" customHeight="1" thickBot="1" x14ac:dyDescent="0.25">
      <c r="A68" s="112"/>
      <c r="B68" s="29"/>
      <c r="C68" s="974"/>
      <c r="D68" s="971" t="s">
        <v>282</v>
      </c>
      <c r="E68" s="971"/>
      <c r="F68" s="971"/>
      <c r="G68" s="976"/>
      <c r="H68" s="598" t="s">
        <v>273</v>
      </c>
      <c r="I68" s="28"/>
      <c r="J68" s="145"/>
      <c r="K68" s="484" t="s">
        <v>274</v>
      </c>
      <c r="L68" s="573"/>
      <c r="M68" s="29"/>
      <c r="N68" s="29"/>
      <c r="O68" s="113"/>
      <c r="P68" s="567">
        <f>IF(L68&lt;&gt;"",1,0)</f>
        <v>0</v>
      </c>
      <c r="Q68" s="203">
        <v>0.78</v>
      </c>
      <c r="R68" s="204" t="s">
        <v>319</v>
      </c>
      <c r="S68" s="188" t="s">
        <v>322</v>
      </c>
      <c r="T68" s="157" t="s">
        <v>303</v>
      </c>
      <c r="U68" s="115"/>
      <c r="V68" s="29">
        <v>12</v>
      </c>
      <c r="W68" s="214"/>
      <c r="X68" s="29"/>
      <c r="Y68" s="29"/>
      <c r="Z68" s="29"/>
      <c r="AA68" s="29"/>
      <c r="AB68" s="29"/>
      <c r="AC68" s="29"/>
      <c r="AD68" s="29"/>
      <c r="AE68" s="132"/>
      <c r="AF68" s="132"/>
      <c r="AG68" s="132"/>
    </row>
    <row r="69" spans="1:33" ht="21.75" customHeight="1" thickBot="1" x14ac:dyDescent="0.3">
      <c r="A69" s="112"/>
      <c r="B69" s="29"/>
      <c r="C69" s="975"/>
      <c r="D69" s="971" t="s">
        <v>283</v>
      </c>
      <c r="E69" s="971"/>
      <c r="F69" s="971"/>
      <c r="G69" s="976"/>
      <c r="H69" s="598" t="s">
        <v>273</v>
      </c>
      <c r="I69" s="28"/>
      <c r="J69" s="145"/>
      <c r="K69" s="484" t="s">
        <v>274</v>
      </c>
      <c r="L69" s="573"/>
      <c r="M69" s="29"/>
      <c r="N69" s="29"/>
      <c r="O69" s="113"/>
      <c r="P69" s="567">
        <f>IF(L69&lt;&gt;"",1,0)</f>
        <v>0</v>
      </c>
      <c r="Q69" s="203">
        <v>0.65</v>
      </c>
      <c r="R69" s="204" t="s">
        <v>318</v>
      </c>
      <c r="S69" s="189">
        <f>SUM(P66:P69)*P64</f>
        <v>0</v>
      </c>
      <c r="T69" s="566">
        <f>IF(OR(P64=0,P64*S69=4),1,0)</f>
        <v>1</v>
      </c>
      <c r="U69" s="115"/>
      <c r="V69" s="29">
        <v>13</v>
      </c>
      <c r="W69" s="213" t="s">
        <v>329</v>
      </c>
      <c r="X69" s="209">
        <f ca="1">X67/AD66</f>
        <v>0.31111111111111112</v>
      </c>
      <c r="Y69" s="120"/>
      <c r="Z69" s="120"/>
      <c r="AA69" s="120"/>
      <c r="AB69" s="120"/>
      <c r="AC69" s="120"/>
      <c r="AD69" s="120"/>
      <c r="AE69" s="132"/>
      <c r="AF69" s="132"/>
      <c r="AG69" s="132"/>
    </row>
    <row r="70" spans="1:33" s="2" customFormat="1" ht="18" customHeight="1" thickBot="1" x14ac:dyDescent="0.3">
      <c r="A70" s="112"/>
      <c r="B70" s="29"/>
      <c r="C70" s="568"/>
      <c r="D70" s="29"/>
      <c r="E70" s="29"/>
      <c r="F70" s="29"/>
      <c r="G70" s="29"/>
      <c r="H70" s="29"/>
      <c r="I70" s="29"/>
      <c r="J70" s="29"/>
      <c r="K70" s="29"/>
      <c r="L70" s="569"/>
      <c r="M70" s="29"/>
      <c r="N70" s="29"/>
      <c r="O70" s="113"/>
      <c r="P70" s="192" t="s">
        <v>274</v>
      </c>
      <c r="Q70" s="193" t="s">
        <v>273</v>
      </c>
      <c r="S70" s="149"/>
      <c r="T70" s="157" t="s">
        <v>303</v>
      </c>
      <c r="U70" s="29"/>
      <c r="V70" s="29">
        <v>14</v>
      </c>
      <c r="W70" s="215" t="s">
        <v>331</v>
      </c>
      <c r="X70" s="216" t="str">
        <f>IF(P64=1,((1-0.1)*X69/3)+0.1,"")</f>
        <v/>
      </c>
      <c r="Y70" s="120"/>
      <c r="Z70" s="120"/>
      <c r="AA70" s="120"/>
      <c r="AB70" s="120"/>
      <c r="AC70" s="120"/>
      <c r="AD70" s="120"/>
      <c r="AE70" s="132"/>
      <c r="AF70" s="132"/>
      <c r="AG70" s="132"/>
    </row>
    <row r="71" spans="1:33" ht="30.75" customHeight="1" thickBot="1" x14ac:dyDescent="0.3">
      <c r="A71" s="112"/>
      <c r="B71" s="29"/>
      <c r="C71" s="1000" t="s">
        <v>288</v>
      </c>
      <c r="D71" s="1001"/>
      <c r="E71" s="1001"/>
      <c r="F71" s="1001"/>
      <c r="G71" s="1002"/>
      <c r="H71" s="570" t="s">
        <v>273</v>
      </c>
      <c r="I71" s="571"/>
      <c r="J71" s="572"/>
      <c r="K71" s="601" t="s">
        <v>274</v>
      </c>
      <c r="L71" s="575"/>
      <c r="M71" s="29"/>
      <c r="N71" s="293"/>
      <c r="O71" s="113"/>
      <c r="P71" s="191">
        <f>IF(L71&lt;&gt;"",1,L71)</f>
        <v>0</v>
      </c>
      <c r="Q71" s="186">
        <f>IF(I71&lt;&gt;"",1,0)</f>
        <v>0</v>
      </c>
      <c r="S71" s="152"/>
      <c r="T71" s="566">
        <f>IF(P71=1,0,1)</f>
        <v>1</v>
      </c>
      <c r="U71" s="29"/>
      <c r="V71" s="29">
        <v>15</v>
      </c>
      <c r="W71" s="29"/>
      <c r="X71" s="29"/>
      <c r="Y71" s="120"/>
      <c r="Z71" s="120"/>
      <c r="AA71" s="120"/>
      <c r="AB71" s="120"/>
      <c r="AC71" s="120"/>
      <c r="AD71" s="29"/>
      <c r="AE71" s="132"/>
      <c r="AF71" s="132"/>
      <c r="AG71" s="132"/>
    </row>
    <row r="72" spans="1:33" ht="30" customHeight="1" x14ac:dyDescent="0.4">
      <c r="A72" s="112"/>
      <c r="B72" s="29"/>
      <c r="C72" s="33"/>
      <c r="D72" s="34"/>
      <c r="E72" s="34"/>
      <c r="F72" s="34"/>
      <c r="G72" s="34"/>
      <c r="H72" s="198" t="str">
        <f>IF(U60&gt;0,"Please, check consistency with critical conditions","")</f>
        <v/>
      </c>
      <c r="I72" s="184"/>
      <c r="J72" s="184"/>
      <c r="K72" s="184"/>
      <c r="L72" s="184"/>
      <c r="M72" s="142"/>
      <c r="N72" s="142"/>
      <c r="O72" s="113"/>
      <c r="P72" s="132"/>
      <c r="Q72" s="29"/>
      <c r="R72" s="132"/>
      <c r="S72" s="597" t="s">
        <v>305</v>
      </c>
      <c r="T72" s="596">
        <f>T62*T69*T71*Q55</f>
        <v>0</v>
      </c>
      <c r="U72" s="115"/>
      <c r="V72" s="29">
        <v>16</v>
      </c>
      <c r="W72" s="181" t="s">
        <v>316</v>
      </c>
      <c r="X72" s="202">
        <v>19</v>
      </c>
      <c r="Y72" s="29"/>
      <c r="Z72" s="29"/>
      <c r="AA72" s="29"/>
      <c r="AB72" s="29"/>
      <c r="AC72" s="29"/>
      <c r="AD72" s="29"/>
      <c r="AE72" s="132"/>
      <c r="AF72" s="132"/>
      <c r="AG72" s="132"/>
    </row>
    <row r="73" spans="1:33" ht="32.25" customHeight="1" x14ac:dyDescent="0.25">
      <c r="A73" s="112"/>
      <c r="B73" s="29"/>
      <c r="C73" s="1003" t="s">
        <v>294</v>
      </c>
      <c r="D73" s="1003"/>
      <c r="E73" s="1003"/>
      <c r="F73" s="1003"/>
      <c r="G73" s="1003"/>
      <c r="H73" s="1003"/>
      <c r="I73" s="1003"/>
      <c r="J73" s="1003"/>
      <c r="K73" s="1003"/>
      <c r="L73" s="1003"/>
      <c r="M73" s="142"/>
      <c r="N73" s="142"/>
      <c r="O73" s="113"/>
      <c r="P73" s="29"/>
      <c r="Q73" s="29"/>
      <c r="R73" s="120"/>
      <c r="S73" s="120"/>
      <c r="T73" s="120"/>
      <c r="U73" s="120"/>
      <c r="V73" s="29">
        <v>17</v>
      </c>
      <c r="W73" s="194"/>
      <c r="X73" s="205" t="s">
        <v>327</v>
      </c>
      <c r="Y73" s="206" t="s">
        <v>315</v>
      </c>
      <c r="Z73" s="206" t="s">
        <v>323</v>
      </c>
      <c r="AA73" s="206" t="s">
        <v>324</v>
      </c>
      <c r="AB73" s="206" t="s">
        <v>325</v>
      </c>
      <c r="AC73" s="206" t="s">
        <v>326</v>
      </c>
      <c r="AD73" s="205" t="s">
        <v>313</v>
      </c>
      <c r="AE73" s="132"/>
      <c r="AF73" s="132"/>
      <c r="AG73" s="132"/>
    </row>
    <row r="74" spans="1:33" ht="15.75" customHeight="1" x14ac:dyDescent="0.4">
      <c r="A74" s="112"/>
      <c r="B74" s="29"/>
      <c r="C74" s="33"/>
      <c r="D74" s="34"/>
      <c r="E74" s="34"/>
      <c r="F74" s="34"/>
      <c r="G74" s="57"/>
      <c r="H74" s="139" t="str">
        <f>IF(U79=1,"Please, mark the weight category present, or check the previous question","")</f>
        <v/>
      </c>
      <c r="I74" s="141"/>
      <c r="J74" s="29"/>
      <c r="K74" s="139"/>
      <c r="L74" s="142"/>
      <c r="M74" s="142"/>
      <c r="N74" s="142"/>
      <c r="O74" s="113"/>
      <c r="P74" s="192" t="s">
        <v>274</v>
      </c>
      <c r="Q74" s="995" t="s">
        <v>317</v>
      </c>
      <c r="R74" s="995"/>
      <c r="S74" s="120"/>
      <c r="T74" s="120"/>
      <c r="U74" s="120"/>
      <c r="V74" s="29">
        <v>18</v>
      </c>
      <c r="W74" s="212" t="s">
        <v>314</v>
      </c>
      <c r="X74" s="207">
        <v>25</v>
      </c>
      <c r="Y74" s="207">
        <f ca="1">IF(OFFSET($P$56,X72+4,0)*OFFSET($Q$56,X72+4,0)&gt;0,OFFSET($Q$56,X72+4,0),1)</f>
        <v>1</v>
      </c>
      <c r="Z74" s="207">
        <f ca="1">IF(OFFSET($P$56,X72+3,0)*OFFSET($Q$56,X72+3,0)&gt;0,OFFSET($Q$56,X72+3,0),1)</f>
        <v>1</v>
      </c>
      <c r="AA74" s="207">
        <f ca="1">IF(OFFSET($P$56,X72+2,0)*OFFSET($Q$56,X72+2,0)&gt;0,OFFSET($Q$56,X72+2,0),1)</f>
        <v>1</v>
      </c>
      <c r="AB74" s="207">
        <v>0.9</v>
      </c>
      <c r="AC74" s="207">
        <f ca="1">IF(OFFSET($P$56,X72+5,0)*OFFSET($Q$56,X72+5,0)&gt;0,OFFSET($Q$56,X72+5,0),1)</f>
        <v>1</v>
      </c>
      <c r="AD74" s="208">
        <f ca="1">X74*Y74*Z74*AA74*AB74*AC74</f>
        <v>22.5</v>
      </c>
      <c r="AE74" s="132"/>
      <c r="AF74" s="132"/>
      <c r="AG74" s="132"/>
    </row>
    <row r="75" spans="1:33" ht="21.75" customHeight="1" x14ac:dyDescent="0.25">
      <c r="A75" s="112"/>
      <c r="B75" s="29"/>
      <c r="C75" s="942" t="s">
        <v>289</v>
      </c>
      <c r="D75" s="943"/>
      <c r="E75" s="943"/>
      <c r="F75" s="943"/>
      <c r="G75" s="944"/>
      <c r="H75" s="560" t="s">
        <v>273</v>
      </c>
      <c r="I75" s="28"/>
      <c r="J75" s="145"/>
      <c r="K75" s="600" t="s">
        <v>274</v>
      </c>
      <c r="L75" s="199"/>
      <c r="M75" s="142"/>
      <c r="N75" s="142"/>
      <c r="O75" s="113"/>
      <c r="P75" s="191">
        <f>IF(L75&lt;&gt;"",1,0)</f>
        <v>0</v>
      </c>
      <c r="Q75" s="343">
        <v>13</v>
      </c>
      <c r="R75" s="152"/>
      <c r="S75" s="120"/>
      <c r="T75" s="195" t="s">
        <v>306</v>
      </c>
      <c r="U75" s="149"/>
      <c r="V75" s="29">
        <v>19</v>
      </c>
      <c r="W75" s="213" t="s">
        <v>328</v>
      </c>
      <c r="X75" s="208">
        <f>IF(P82=1,Q82,IF(P75=1,Q75,IF(P64=1,Q64,Q57)))</f>
        <v>4</v>
      </c>
      <c r="Y75" s="190"/>
      <c r="Z75" s="190"/>
      <c r="AA75" s="190"/>
      <c r="AB75" s="190"/>
      <c r="AC75" s="190"/>
      <c r="AD75" s="190"/>
      <c r="AE75" s="132"/>
      <c r="AF75" s="132"/>
      <c r="AG75" s="132"/>
    </row>
    <row r="76" spans="1:33" s="2" customFormat="1" ht="12" customHeight="1" thickBot="1" x14ac:dyDescent="0.3">
      <c r="A76" s="1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113"/>
      <c r="P76" s="346" t="s">
        <v>273</v>
      </c>
      <c r="Q76" s="152"/>
      <c r="R76" s="153"/>
      <c r="S76" s="29"/>
      <c r="V76" s="29">
        <v>20</v>
      </c>
      <c r="W76" s="214"/>
      <c r="X76" s="29"/>
      <c r="Y76" s="29"/>
      <c r="Z76" s="29"/>
      <c r="AA76" s="29"/>
      <c r="AB76" s="29"/>
      <c r="AC76" s="29"/>
      <c r="AD76" s="29"/>
      <c r="AE76" s="132"/>
      <c r="AF76" s="132"/>
      <c r="AG76" s="132"/>
    </row>
    <row r="77" spans="1:33" ht="21.75" customHeight="1" thickBot="1" x14ac:dyDescent="0.3">
      <c r="A77" s="112"/>
      <c r="B77" s="29"/>
      <c r="C77" s="997" t="s">
        <v>291</v>
      </c>
      <c r="D77" s="971" t="s">
        <v>280</v>
      </c>
      <c r="E77" s="971"/>
      <c r="F77" s="971"/>
      <c r="G77" s="976"/>
      <c r="H77" s="563" t="s">
        <v>273</v>
      </c>
      <c r="I77" s="199"/>
      <c r="J77" s="103"/>
      <c r="K77" s="562" t="s">
        <v>274</v>
      </c>
      <c r="L77" s="199"/>
      <c r="M77" s="142"/>
      <c r="N77" s="142"/>
      <c r="O77" s="113"/>
      <c r="P77" s="309">
        <f>IF(I77&lt;&gt;"",1,0)</f>
        <v>0</v>
      </c>
      <c r="Q77" s="344">
        <v>0.81</v>
      </c>
      <c r="R77" s="153" t="s">
        <v>321</v>
      </c>
      <c r="S77" s="120"/>
      <c r="T77" s="345" t="s">
        <v>310</v>
      </c>
      <c r="U77" s="186">
        <f>P88</f>
        <v>0</v>
      </c>
      <c r="V77" s="29">
        <v>21</v>
      </c>
      <c r="W77" s="213" t="s">
        <v>329</v>
      </c>
      <c r="X77" s="209">
        <f ca="1">X75/AD74</f>
        <v>0.17777777777777778</v>
      </c>
      <c r="Y77" s="120"/>
      <c r="Z77" s="120"/>
      <c r="AA77" s="120"/>
      <c r="AB77" s="120"/>
      <c r="AC77" s="120"/>
      <c r="AD77" s="120"/>
      <c r="AE77" s="132"/>
      <c r="AF77" s="132"/>
      <c r="AG77" s="132"/>
    </row>
    <row r="78" spans="1:33" ht="21.75" customHeight="1" thickBot="1" x14ac:dyDescent="0.3">
      <c r="A78" s="112"/>
      <c r="B78" s="29"/>
      <c r="C78" s="998"/>
      <c r="D78" s="971" t="s">
        <v>281</v>
      </c>
      <c r="E78" s="971"/>
      <c r="F78" s="971"/>
      <c r="G78" s="976"/>
      <c r="H78" s="563" t="s">
        <v>273</v>
      </c>
      <c r="I78" s="199"/>
      <c r="J78" s="103"/>
      <c r="K78" s="562" t="s">
        <v>274</v>
      </c>
      <c r="L78" s="199"/>
      <c r="M78" s="142"/>
      <c r="N78" s="142"/>
      <c r="O78" s="113"/>
      <c r="P78" s="309">
        <f>IF(I78&lt;&gt;"",1,0)</f>
        <v>0</v>
      </c>
      <c r="Q78" s="344">
        <v>0.56000000000000005</v>
      </c>
      <c r="R78" s="153" t="s">
        <v>320</v>
      </c>
      <c r="S78" s="120"/>
      <c r="T78" s="185" t="s">
        <v>311</v>
      </c>
      <c r="U78" s="197">
        <f>P71</f>
        <v>0</v>
      </c>
      <c r="V78" s="29">
        <v>22</v>
      </c>
      <c r="W78" s="215" t="s">
        <v>331</v>
      </c>
      <c r="X78" s="216" t="str">
        <f>IF(P75=1,((1-0.1)*X77/3)+0.1,"")</f>
        <v/>
      </c>
      <c r="Y78" s="120"/>
      <c r="Z78" s="120"/>
      <c r="AA78" s="120"/>
      <c r="AB78" s="120"/>
      <c r="AC78" s="120"/>
      <c r="AD78" s="120"/>
      <c r="AE78" s="132"/>
      <c r="AF78" s="132"/>
      <c r="AG78" s="132"/>
    </row>
    <row r="79" spans="1:33" ht="21.75" customHeight="1" x14ac:dyDescent="0.25">
      <c r="A79" s="112"/>
      <c r="B79" s="29"/>
      <c r="C79" s="998"/>
      <c r="D79" s="971" t="s">
        <v>282</v>
      </c>
      <c r="E79" s="971"/>
      <c r="F79" s="971"/>
      <c r="G79" s="976"/>
      <c r="H79" s="563" t="s">
        <v>273</v>
      </c>
      <c r="I79" s="199"/>
      <c r="J79" s="103"/>
      <c r="K79" s="562" t="s">
        <v>274</v>
      </c>
      <c r="L79" s="199"/>
      <c r="M79" s="142"/>
      <c r="N79" s="142"/>
      <c r="O79" s="113"/>
      <c r="P79" s="309">
        <f>IF(I79&lt;&gt;"",1,0)</f>
        <v>0</v>
      </c>
      <c r="Q79" s="344">
        <v>0.78</v>
      </c>
      <c r="R79" s="153" t="s">
        <v>319</v>
      </c>
      <c r="S79" s="120"/>
      <c r="T79" s="185" t="s">
        <v>309</v>
      </c>
      <c r="U79" s="197">
        <f>IF(U77+U78=1,1,0)</f>
        <v>0</v>
      </c>
      <c r="V79" s="29">
        <v>23</v>
      </c>
      <c r="W79" s="181" t="s">
        <v>316</v>
      </c>
      <c r="X79" s="202">
        <v>26</v>
      </c>
      <c r="Y79" s="29"/>
      <c r="Z79" s="29"/>
      <c r="AA79" s="29"/>
      <c r="AB79" s="29"/>
      <c r="AC79" s="29"/>
      <c r="AD79" s="29"/>
      <c r="AE79" s="132"/>
      <c r="AF79" s="132"/>
      <c r="AG79" s="132"/>
    </row>
    <row r="80" spans="1:33" ht="21.75" customHeight="1" x14ac:dyDescent="0.25">
      <c r="A80" s="112"/>
      <c r="B80" s="29"/>
      <c r="C80" s="999"/>
      <c r="D80" s="971" t="s">
        <v>293</v>
      </c>
      <c r="E80" s="971"/>
      <c r="F80" s="971"/>
      <c r="G80" s="976"/>
      <c r="H80" s="563" t="s">
        <v>273</v>
      </c>
      <c r="I80" s="199"/>
      <c r="J80" s="103"/>
      <c r="K80" s="562" t="s">
        <v>274</v>
      </c>
      <c r="L80" s="199"/>
      <c r="M80" s="142"/>
      <c r="N80" s="142"/>
      <c r="O80" s="113"/>
      <c r="P80" s="309">
        <f>IF(I80&lt;&gt;"",1,0)</f>
        <v>0</v>
      </c>
      <c r="Q80" s="344">
        <v>0.65</v>
      </c>
      <c r="R80" s="153" t="s">
        <v>318</v>
      </c>
      <c r="S80" s="120"/>
      <c r="T80" s="120"/>
      <c r="U80" s="120"/>
      <c r="V80" s="29">
        <v>24</v>
      </c>
      <c r="W80" s="194"/>
      <c r="X80" s="205" t="s">
        <v>327</v>
      </c>
      <c r="Y80" s="206" t="s">
        <v>315</v>
      </c>
      <c r="Z80" s="206" t="s">
        <v>323</v>
      </c>
      <c r="AA80" s="206" t="s">
        <v>324</v>
      </c>
      <c r="AB80" s="206" t="s">
        <v>325</v>
      </c>
      <c r="AC80" s="206" t="s">
        <v>326</v>
      </c>
      <c r="AD80" s="205" t="s">
        <v>313</v>
      </c>
      <c r="AE80" s="132"/>
      <c r="AF80" s="132"/>
      <c r="AG80" s="132"/>
    </row>
    <row r="81" spans="1:42" ht="21.75" customHeight="1" x14ac:dyDescent="0.25">
      <c r="A81" s="1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42"/>
      <c r="N81" s="142"/>
      <c r="O81" s="113"/>
      <c r="P81" s="192" t="s">
        <v>274</v>
      </c>
      <c r="Q81" s="995" t="s">
        <v>317</v>
      </c>
      <c r="R81" s="995"/>
      <c r="S81" s="120"/>
      <c r="T81" s="120"/>
      <c r="U81" s="120"/>
      <c r="V81" s="29">
        <v>25</v>
      </c>
      <c r="W81" s="212" t="s">
        <v>314</v>
      </c>
      <c r="X81" s="207">
        <v>25</v>
      </c>
      <c r="Y81" s="207">
        <f ca="1">IF(OFFSET($P$56,X79+4,0)*OFFSET($Q$56,X79+4,0)&gt;0,OFFSET($Q$56,X79+4,0),1)</f>
        <v>1</v>
      </c>
      <c r="Z81" s="207">
        <f ca="1">IF(OFFSET($P$56,X79+3,0)*OFFSET($Q$56,X79+3,0)&gt;0,OFFSET($Q$56,X79+3,0),1)</f>
        <v>1</v>
      </c>
      <c r="AA81" s="207">
        <f ca="1">IF(OFFSET($P$56,X79+2,0)*OFFSET($Q$56,X79+2,0)&gt;0,OFFSET($Q$56,X79+2,0),1)</f>
        <v>1</v>
      </c>
      <c r="AB81" s="207">
        <v>0.9</v>
      </c>
      <c r="AC81" s="207">
        <f ca="1">IF(OFFSET($P$56,X79+5,0)*OFFSET($Q$56,X79+5,0)&gt;0,OFFSET($Q$56,X79+5,0),1)</f>
        <v>1</v>
      </c>
      <c r="AD81" s="208">
        <f ca="1">X81*Y81*Z81*AA81*AB81*AC81</f>
        <v>22.5</v>
      </c>
      <c r="AE81" s="132"/>
      <c r="AF81" s="132"/>
      <c r="AG81" s="132"/>
    </row>
    <row r="82" spans="1:42" ht="21.75" customHeight="1" x14ac:dyDescent="0.25">
      <c r="A82" s="112"/>
      <c r="B82" s="29"/>
      <c r="C82" s="942" t="s">
        <v>290</v>
      </c>
      <c r="D82" s="943"/>
      <c r="E82" s="943"/>
      <c r="F82" s="943"/>
      <c r="G82" s="944"/>
      <c r="H82" s="560" t="s">
        <v>273</v>
      </c>
      <c r="I82" s="28"/>
      <c r="J82" s="145"/>
      <c r="K82" s="599" t="s">
        <v>274</v>
      </c>
      <c r="L82" s="28"/>
      <c r="M82" s="142"/>
      <c r="N82" s="142"/>
      <c r="O82" s="113"/>
      <c r="P82" s="191">
        <f>IF(L82&lt;&gt;"",1,0)</f>
        <v>0</v>
      </c>
      <c r="Q82" s="343">
        <v>20</v>
      </c>
      <c r="R82" s="153"/>
      <c r="S82" s="120"/>
      <c r="T82" s="120"/>
      <c r="U82" s="120"/>
      <c r="V82" s="29">
        <v>26</v>
      </c>
      <c r="W82" s="213" t="s">
        <v>328</v>
      </c>
      <c r="X82" s="208">
        <f>IF(P89=1,Q89,IF(P82=1,Q82,IF(P71=1,Q71,Q64)))</f>
        <v>7</v>
      </c>
      <c r="Y82" s="190"/>
      <c r="Z82" s="190"/>
      <c r="AA82" s="190"/>
      <c r="AB82" s="190"/>
      <c r="AC82" s="190"/>
      <c r="AD82" s="190"/>
      <c r="AE82" s="132"/>
      <c r="AF82" s="132"/>
      <c r="AG82" s="132"/>
    </row>
    <row r="83" spans="1:42" s="2" customFormat="1" ht="12" customHeight="1" thickBot="1" x14ac:dyDescent="0.3">
      <c r="A83" s="1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113"/>
      <c r="P83" s="346" t="s">
        <v>273</v>
      </c>
      <c r="Q83" s="152"/>
      <c r="R83" s="153"/>
      <c r="S83" s="29"/>
      <c r="T83" s="29"/>
      <c r="U83" s="29"/>
      <c r="V83" s="29">
        <v>27</v>
      </c>
      <c r="W83" s="214"/>
      <c r="X83" s="29"/>
      <c r="Y83" s="29"/>
      <c r="Z83" s="29"/>
      <c r="AA83" s="29"/>
      <c r="AB83" s="29"/>
      <c r="AC83" s="29"/>
      <c r="AD83" s="29"/>
      <c r="AE83" s="132"/>
      <c r="AF83" s="132"/>
      <c r="AG83" s="132"/>
    </row>
    <row r="84" spans="1:42" ht="21.75" customHeight="1" thickBot="1" x14ac:dyDescent="0.3">
      <c r="A84" s="112"/>
      <c r="B84" s="29"/>
      <c r="C84" s="997" t="s">
        <v>292</v>
      </c>
      <c r="D84" s="971" t="s">
        <v>280</v>
      </c>
      <c r="E84" s="971"/>
      <c r="F84" s="971"/>
      <c r="G84" s="976"/>
      <c r="H84" s="564" t="s">
        <v>273</v>
      </c>
      <c r="I84" s="28"/>
      <c r="J84" s="145"/>
      <c r="K84" s="562" t="s">
        <v>274</v>
      </c>
      <c r="L84" s="28"/>
      <c r="M84" s="142"/>
      <c r="N84" s="142"/>
      <c r="O84" s="113"/>
      <c r="P84" s="309">
        <f>IF(I84&lt;&gt;"",1,0)</f>
        <v>0</v>
      </c>
      <c r="Q84" s="344">
        <v>0.81</v>
      </c>
      <c r="R84" s="153" t="s">
        <v>321</v>
      </c>
      <c r="S84" s="120"/>
      <c r="T84" s="120"/>
      <c r="U84" s="120"/>
      <c r="V84" s="29">
        <v>28</v>
      </c>
      <c r="W84" s="213" t="s">
        <v>329</v>
      </c>
      <c r="X84" s="209">
        <f ca="1">X82/AD81</f>
        <v>0.31111111111111112</v>
      </c>
      <c r="Y84" s="120"/>
      <c r="Z84" s="120"/>
      <c r="AA84" s="120"/>
      <c r="AB84" s="120"/>
      <c r="AC84" s="120"/>
      <c r="AD84" s="120"/>
      <c r="AE84" s="132"/>
      <c r="AF84" s="132"/>
      <c r="AG84" s="132"/>
    </row>
    <row r="85" spans="1:42" ht="21.75" customHeight="1" thickBot="1" x14ac:dyDescent="0.3">
      <c r="A85" s="112"/>
      <c r="B85" s="29"/>
      <c r="C85" s="998"/>
      <c r="D85" s="971" t="s">
        <v>281</v>
      </c>
      <c r="E85" s="971"/>
      <c r="F85" s="971"/>
      <c r="G85" s="976"/>
      <c r="H85" s="564" t="s">
        <v>273</v>
      </c>
      <c r="I85" s="28"/>
      <c r="J85" s="145"/>
      <c r="K85" s="562" t="s">
        <v>274</v>
      </c>
      <c r="L85" s="28"/>
      <c r="M85" s="142"/>
      <c r="N85" s="142"/>
      <c r="O85" s="113"/>
      <c r="P85" s="309">
        <f>IF(I85&lt;&gt;"",1,0)</f>
        <v>0</v>
      </c>
      <c r="Q85" s="344">
        <v>0.56000000000000005</v>
      </c>
      <c r="R85" s="153" t="s">
        <v>320</v>
      </c>
      <c r="S85" s="120"/>
      <c r="T85" s="120"/>
      <c r="U85" s="120"/>
      <c r="V85" s="29">
        <v>29</v>
      </c>
      <c r="W85" s="215" t="s">
        <v>331</v>
      </c>
      <c r="X85" s="216" t="str">
        <f>IF(P82=1,((1-0.1)*X84/3)+0.1,"")</f>
        <v/>
      </c>
      <c r="Y85" s="120"/>
      <c r="Z85" s="120"/>
      <c r="AA85" s="120"/>
      <c r="AB85" s="120"/>
      <c r="AC85" s="120"/>
      <c r="AD85" s="120"/>
      <c r="AE85" s="132"/>
      <c r="AF85" s="132"/>
      <c r="AG85" s="132"/>
    </row>
    <row r="86" spans="1:42" ht="21.75" customHeight="1" thickBot="1" x14ac:dyDescent="0.3">
      <c r="A86" s="112"/>
      <c r="B86" s="29"/>
      <c r="C86" s="998"/>
      <c r="D86" s="971" t="s">
        <v>282</v>
      </c>
      <c r="E86" s="971"/>
      <c r="F86" s="971"/>
      <c r="G86" s="976"/>
      <c r="H86" s="564" t="s">
        <v>273</v>
      </c>
      <c r="I86" s="28"/>
      <c r="J86" s="145"/>
      <c r="K86" s="562" t="s">
        <v>274</v>
      </c>
      <c r="L86" s="28"/>
      <c r="M86" s="142"/>
      <c r="N86" s="142"/>
      <c r="O86" s="113"/>
      <c r="P86" s="309">
        <f>IF(I86&lt;&gt;"",1,0)</f>
        <v>0</v>
      </c>
      <c r="Q86" s="344">
        <v>0.78</v>
      </c>
      <c r="R86" s="153" t="s">
        <v>319</v>
      </c>
      <c r="S86" s="120"/>
      <c r="T86" s="239" t="s">
        <v>330</v>
      </c>
      <c r="U86" s="242" t="s">
        <v>374</v>
      </c>
      <c r="V86" s="29">
        <v>30</v>
      </c>
      <c r="W86" s="120"/>
      <c r="X86" s="120"/>
      <c r="Y86" s="120"/>
      <c r="Z86" s="120"/>
      <c r="AA86" s="120"/>
      <c r="AB86" s="120"/>
      <c r="AC86" s="120"/>
      <c r="AD86" s="120"/>
      <c r="AE86" s="132"/>
      <c r="AF86" s="132"/>
      <c r="AG86" s="132"/>
      <c r="AP86" s="294"/>
    </row>
    <row r="87" spans="1:42" ht="21.75" customHeight="1" thickBot="1" x14ac:dyDescent="0.35">
      <c r="A87" s="112"/>
      <c r="B87" s="29"/>
      <c r="C87" s="999"/>
      <c r="D87" s="971" t="s">
        <v>293</v>
      </c>
      <c r="E87" s="971"/>
      <c r="F87" s="971"/>
      <c r="G87" s="976"/>
      <c r="H87" s="564" t="s">
        <v>273</v>
      </c>
      <c r="I87" s="28"/>
      <c r="J87" s="145"/>
      <c r="K87" s="562" t="s">
        <v>274</v>
      </c>
      <c r="L87" s="28"/>
      <c r="M87" s="142"/>
      <c r="N87" s="142"/>
      <c r="O87" s="113"/>
      <c r="P87" s="309">
        <f>IF(I87&lt;&gt;"",1,0)</f>
        <v>0</v>
      </c>
      <c r="Q87" s="344">
        <v>0.65</v>
      </c>
      <c r="R87" s="153" t="s">
        <v>318</v>
      </c>
      <c r="S87" s="120"/>
      <c r="T87" s="240">
        <f>IF(Q53=1,1,IF(T72=1,0.1,IF(X87&gt;1,1,X87)))</f>
        <v>0</v>
      </c>
      <c r="U87" s="241" t="str">
        <f>IF(P15=0,"",IF(Q55=0,"",IF(ISERR(T87),"",IF(T87&gt;1,1,T87))))</f>
        <v/>
      </c>
      <c r="V87" s="29">
        <v>31</v>
      </c>
      <c r="W87" s="347" t="s">
        <v>458</v>
      </c>
      <c r="X87" s="348">
        <f>MAX(X61,X70,X78,X85)</f>
        <v>0</v>
      </c>
      <c r="Y87" s="120"/>
      <c r="Z87" s="120"/>
      <c r="AA87" s="120"/>
      <c r="AB87" s="120"/>
      <c r="AC87" s="120"/>
      <c r="AD87" s="120"/>
      <c r="AE87" s="132"/>
      <c r="AF87" s="132"/>
      <c r="AG87" s="132"/>
    </row>
    <row r="88" spans="1:42" ht="33.75" customHeight="1" x14ac:dyDescent="0.4">
      <c r="A88" s="112"/>
      <c r="B88" s="29"/>
      <c r="C88" s="33"/>
      <c r="D88" s="34"/>
      <c r="E88" s="34"/>
      <c r="F88" s="34"/>
      <c r="G88" s="34"/>
      <c r="H88" s="139"/>
      <c r="I88" s="141"/>
      <c r="J88" s="29"/>
      <c r="K88" s="139"/>
      <c r="L88" s="142"/>
      <c r="M88" s="142"/>
      <c r="N88" s="142"/>
      <c r="O88" s="113"/>
      <c r="P88" s="191">
        <f>IF(SUM(P75,P82)&gt;0,1,0)</f>
        <v>0</v>
      </c>
      <c r="Q88" s="914" t="s">
        <v>310</v>
      </c>
      <c r="R88" s="915"/>
      <c r="S88" s="120"/>
      <c r="T88" s="120"/>
      <c r="U88" s="583">
        <f>$T$34</f>
        <v>0</v>
      </c>
      <c r="V88" s="120" t="s">
        <v>584</v>
      </c>
      <c r="W88" s="120"/>
      <c r="X88" s="120"/>
      <c r="Y88" s="120"/>
      <c r="Z88" s="120"/>
      <c r="AA88" s="120"/>
      <c r="AB88" s="120"/>
      <c r="AC88" s="120"/>
      <c r="AD88" s="120"/>
      <c r="AE88" s="132"/>
      <c r="AF88" s="132"/>
      <c r="AG88" s="132"/>
    </row>
    <row r="89" spans="1:42" s="10" customFormat="1" ht="22.5" customHeight="1" x14ac:dyDescent="0.35">
      <c r="A89" s="55"/>
      <c r="B89" s="937" t="s">
        <v>17</v>
      </c>
      <c r="C89" s="910" t="s">
        <v>180</v>
      </c>
      <c r="D89" s="910"/>
      <c r="E89" s="910"/>
      <c r="F89" s="910"/>
      <c r="G89" s="910"/>
      <c r="H89" s="910"/>
      <c r="I89" s="910"/>
      <c r="J89" s="910"/>
      <c r="K89" s="910"/>
      <c r="L89" s="910"/>
      <c r="M89" s="910"/>
      <c r="N89" s="910"/>
      <c r="O89" s="113"/>
      <c r="P89" s="29"/>
      <c r="Q89" s="132"/>
      <c r="R89" s="132"/>
      <c r="S89" s="132"/>
      <c r="T89" s="132"/>
      <c r="U89" s="584">
        <f>MAX(U87:U88)</f>
        <v>0</v>
      </c>
      <c r="V89" s="302" t="s">
        <v>543</v>
      </c>
      <c r="W89" s="120"/>
      <c r="X89" s="120"/>
      <c r="Y89" s="120"/>
      <c r="Z89" s="120"/>
      <c r="AA89" s="120"/>
      <c r="AB89" s="120"/>
      <c r="AC89" s="120"/>
      <c r="AD89" s="120"/>
      <c r="AE89" s="132"/>
      <c r="AF89" s="132"/>
      <c r="AG89" s="132"/>
    </row>
    <row r="90" spans="1:42" s="10" customFormat="1" ht="8.25" customHeight="1" x14ac:dyDescent="0.25">
      <c r="A90" s="55"/>
      <c r="B90" s="937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113"/>
      <c r="P90" s="29"/>
      <c r="Q90" s="132"/>
      <c r="R90" s="132"/>
      <c r="S90" s="132"/>
      <c r="T90" s="132"/>
      <c r="U90" s="132"/>
      <c r="V90" s="132"/>
      <c r="W90" s="120"/>
      <c r="X90" s="120"/>
      <c r="Y90" s="120"/>
      <c r="Z90" s="120"/>
      <c r="AA90" s="120"/>
      <c r="AB90" s="120"/>
      <c r="AC90" s="120"/>
      <c r="AD90" s="120"/>
      <c r="AE90" s="132"/>
      <c r="AF90" s="132"/>
      <c r="AG90" s="132"/>
    </row>
    <row r="91" spans="1:42" s="10" customFormat="1" ht="20.25" customHeight="1" x14ac:dyDescent="0.25">
      <c r="A91" s="55"/>
      <c r="B91" s="937"/>
      <c r="C91" s="910"/>
      <c r="D91" s="910"/>
      <c r="E91" s="910"/>
      <c r="F91" s="910"/>
      <c r="G91" s="910"/>
      <c r="H91" s="910"/>
      <c r="I91" s="910"/>
      <c r="J91" s="910"/>
      <c r="K91" s="910"/>
      <c r="L91" s="910"/>
      <c r="M91" s="910"/>
      <c r="N91" s="910"/>
      <c r="O91" s="113"/>
      <c r="P91" s="29"/>
      <c r="Q91" s="132"/>
      <c r="R91" s="132"/>
      <c r="S91" s="132"/>
      <c r="T91" s="132"/>
      <c r="U91" s="132"/>
      <c r="V91" s="132"/>
      <c r="W91" s="120"/>
      <c r="X91" s="120"/>
      <c r="Y91" s="120"/>
      <c r="Z91" s="120"/>
      <c r="AA91" s="120"/>
      <c r="AB91" s="120"/>
      <c r="AC91" s="120"/>
      <c r="AD91" s="120"/>
      <c r="AE91" s="132"/>
      <c r="AF91" s="132"/>
      <c r="AG91" s="132"/>
    </row>
    <row r="92" spans="1:42" ht="21.75" customHeight="1" x14ac:dyDescent="0.4">
      <c r="A92" s="112"/>
      <c r="B92" s="143"/>
      <c r="C92" s="33"/>
      <c r="D92" s="34"/>
      <c r="E92" s="34"/>
      <c r="F92" s="34"/>
      <c r="G92" s="34"/>
      <c r="H92" s="139"/>
      <c r="I92" s="141"/>
      <c r="J92" s="29"/>
      <c r="K92" s="139"/>
      <c r="L92" s="142"/>
      <c r="M92" s="29"/>
      <c r="N92" s="29"/>
      <c r="O92" s="113"/>
      <c r="P92" s="132"/>
      <c r="Q92" s="132"/>
      <c r="R92" s="120"/>
      <c r="S92" s="20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32"/>
      <c r="AF92" s="132"/>
      <c r="AG92" s="132"/>
    </row>
    <row r="93" spans="1:42" ht="16.5" customHeight="1" x14ac:dyDescent="0.25">
      <c r="A93" s="112"/>
      <c r="B93" s="29"/>
      <c r="C93" s="913" t="s">
        <v>342</v>
      </c>
      <c r="D93" s="913"/>
      <c r="E93" s="913"/>
      <c r="F93" s="913"/>
      <c r="G93" s="913"/>
      <c r="H93" s="913"/>
      <c r="I93" s="913"/>
      <c r="J93" s="913"/>
      <c r="K93" s="913"/>
      <c r="L93" s="913"/>
      <c r="M93" s="29"/>
      <c r="N93" s="911" t="str">
        <f>IF('HAZARDS-GEN'!L46&lt;&gt;"","YES","NO")</f>
        <v>NO</v>
      </c>
      <c r="O93" s="113"/>
      <c r="P93" s="191" t="b">
        <f>N93="YES"</f>
        <v>0</v>
      </c>
      <c r="Q93" s="132"/>
      <c r="R93" s="120"/>
      <c r="S93" s="120"/>
      <c r="T93" s="137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32"/>
      <c r="AF93" s="132"/>
      <c r="AG93" s="132"/>
    </row>
    <row r="94" spans="1:42" ht="23.25" customHeight="1" x14ac:dyDescent="0.25">
      <c r="A94" s="112"/>
      <c r="B94" s="29"/>
      <c r="C94" s="913"/>
      <c r="D94" s="913"/>
      <c r="E94" s="913"/>
      <c r="F94" s="913"/>
      <c r="G94" s="913"/>
      <c r="H94" s="913"/>
      <c r="I94" s="913"/>
      <c r="J94" s="913"/>
      <c r="K94" s="913"/>
      <c r="L94" s="913"/>
      <c r="M94" s="29"/>
      <c r="N94" s="912"/>
      <c r="O94" s="113"/>
      <c r="Q94" s="132"/>
      <c r="R94" s="120"/>
      <c r="S94" s="200"/>
      <c r="T94" s="120"/>
      <c r="U94" s="120"/>
      <c r="V94" s="120"/>
      <c r="W94" s="351" t="s">
        <v>461</v>
      </c>
      <c r="X94" s="350" t="b">
        <f>P110+Q34&gt;0</f>
        <v>0</v>
      </c>
      <c r="Y94" s="1004" t="s">
        <v>602</v>
      </c>
      <c r="Z94" s="1005"/>
      <c r="AA94" s="1005"/>
      <c r="AB94" s="120"/>
      <c r="AC94" s="120"/>
      <c r="AD94" s="120"/>
      <c r="AE94" s="132"/>
      <c r="AF94" s="132"/>
      <c r="AG94" s="132"/>
    </row>
    <row r="95" spans="1:42" ht="33" customHeight="1" x14ac:dyDescent="0.25">
      <c r="A95" s="112"/>
      <c r="B95" s="29"/>
      <c r="C95" s="977" t="str">
        <f>IF(P93=0,"Carrying is not present. Skip block B3",IF(P97=0,"Please, proceed to answer these questions and questions in the first block of this sheet named 'Additional factors to be considered'",""))</f>
        <v/>
      </c>
      <c r="D95" s="977"/>
      <c r="E95" s="977"/>
      <c r="F95" s="977"/>
      <c r="G95" s="977"/>
      <c r="H95" s="977"/>
      <c r="I95" s="977"/>
      <c r="J95" s="977"/>
      <c r="K95" s="977"/>
      <c r="L95" s="977"/>
      <c r="M95" s="29"/>
      <c r="N95" s="29"/>
      <c r="O95" s="113"/>
      <c r="Q95" s="132"/>
      <c r="R95" s="120"/>
      <c r="S95" s="120" t="s">
        <v>604</v>
      </c>
      <c r="T95" s="135" t="s">
        <v>335</v>
      </c>
      <c r="U95" s="135" t="s">
        <v>337</v>
      </c>
      <c r="V95" s="715" t="s">
        <v>601</v>
      </c>
      <c r="W95" s="715" t="s">
        <v>459</v>
      </c>
      <c r="X95" s="715" t="s">
        <v>460</v>
      </c>
      <c r="Y95" s="718" t="s">
        <v>601</v>
      </c>
      <c r="Z95" s="718" t="s">
        <v>459</v>
      </c>
      <c r="AA95" s="718" t="s">
        <v>460</v>
      </c>
      <c r="AB95" s="120"/>
      <c r="AC95" s="120"/>
      <c r="AD95" s="120"/>
      <c r="AE95" s="132"/>
      <c r="AF95" s="132"/>
      <c r="AG95" s="132"/>
    </row>
    <row r="96" spans="1:42" ht="0.75" customHeight="1" thickBot="1" x14ac:dyDescent="0.3">
      <c r="A96" s="112"/>
      <c r="B96" s="2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13"/>
      <c r="P96" s="352" t="s">
        <v>304</v>
      </c>
      <c r="Q96" s="132"/>
      <c r="R96" s="120"/>
      <c r="S96" s="120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</row>
    <row r="97" spans="1:33" ht="28.5" customHeight="1" x14ac:dyDescent="0.25">
      <c r="A97" s="112"/>
      <c r="B97" s="29"/>
      <c r="C97" s="1007" t="s">
        <v>332</v>
      </c>
      <c r="D97" s="1008"/>
      <c r="E97" s="1008"/>
      <c r="F97" s="1008"/>
      <c r="G97" s="1008"/>
      <c r="H97" s="1008"/>
      <c r="I97" s="1008"/>
      <c r="J97" s="1008"/>
      <c r="K97" s="1008"/>
      <c r="L97" s="1009"/>
      <c r="M97" s="140"/>
      <c r="N97" s="140"/>
      <c r="O97" s="113"/>
      <c r="P97" s="191" t="b">
        <f>D98&lt;&gt;""</f>
        <v>0</v>
      </c>
      <c r="Q97" s="132"/>
      <c r="R97" s="120"/>
      <c r="S97" s="717">
        <f>IF($J$99=T97,1,0)</f>
        <v>1</v>
      </c>
      <c r="T97" s="721" t="s">
        <v>600</v>
      </c>
      <c r="U97" s="720"/>
      <c r="V97" s="721">
        <v>10000</v>
      </c>
      <c r="W97" s="721">
        <v>7200</v>
      </c>
      <c r="X97" s="721">
        <v>120</v>
      </c>
      <c r="Y97" s="716">
        <f t="shared" ref="Y97:AA101" si="1">IF($X$94,V97*2/3,V97)</f>
        <v>10000</v>
      </c>
      <c r="Z97" s="716">
        <f t="shared" si="1"/>
        <v>7200</v>
      </c>
      <c r="AA97" s="716">
        <f t="shared" si="1"/>
        <v>120</v>
      </c>
      <c r="AB97" s="132"/>
      <c r="AC97" s="132"/>
      <c r="AD97" s="132"/>
      <c r="AE97" s="132"/>
      <c r="AF97" s="132"/>
      <c r="AG97" s="132"/>
    </row>
    <row r="98" spans="1:33" ht="37.5" customHeight="1" x14ac:dyDescent="0.25">
      <c r="A98" s="112"/>
      <c r="B98" s="29"/>
      <c r="C98" s="602" t="s">
        <v>595</v>
      </c>
      <c r="D98" s="704"/>
      <c r="E98" s="140" t="s">
        <v>596</v>
      </c>
      <c r="F98" s="140"/>
      <c r="G98" s="140"/>
      <c r="H98" s="140"/>
      <c r="I98" s="140"/>
      <c r="J98" s="140"/>
      <c r="K98" s="140"/>
      <c r="L98" s="603"/>
      <c r="M98" s="29"/>
      <c r="N98" s="29"/>
      <c r="O98" s="113"/>
      <c r="P98" s="191" t="b">
        <f>J99&lt;&gt;""</f>
        <v>1</v>
      </c>
      <c r="Q98" s="132"/>
      <c r="R98" s="120"/>
      <c r="S98" s="717">
        <f>IF($J$99=T98,1,0)</f>
        <v>0</v>
      </c>
      <c r="T98" s="721" t="s">
        <v>599</v>
      </c>
      <c r="U98" s="722"/>
      <c r="V98" s="721">
        <v>10000</v>
      </c>
      <c r="W98" s="721">
        <v>4500</v>
      </c>
      <c r="X98" s="721">
        <v>75</v>
      </c>
      <c r="Y98" s="716">
        <f t="shared" si="1"/>
        <v>10000</v>
      </c>
      <c r="Z98" s="716">
        <f t="shared" si="1"/>
        <v>4500</v>
      </c>
      <c r="AA98" s="716">
        <f t="shared" si="1"/>
        <v>75</v>
      </c>
      <c r="AB98" s="132"/>
      <c r="AC98" s="132"/>
      <c r="AD98" s="132"/>
      <c r="AE98" s="132"/>
      <c r="AF98" s="132"/>
      <c r="AG98" s="132"/>
    </row>
    <row r="99" spans="1:33" ht="42" customHeight="1" x14ac:dyDescent="0.25">
      <c r="A99" s="112"/>
      <c r="B99" s="29"/>
      <c r="C99" s="604" t="s">
        <v>334</v>
      </c>
      <c r="D99" s="705" t="s">
        <v>333</v>
      </c>
      <c r="E99" s="714" t="s">
        <v>339</v>
      </c>
      <c r="F99" s="140"/>
      <c r="G99" s="140"/>
      <c r="H99" s="841" t="s">
        <v>590</v>
      </c>
      <c r="I99" s="841"/>
      <c r="J99" s="945" t="s">
        <v>600</v>
      </c>
      <c r="K99" s="945"/>
      <c r="L99" s="946"/>
      <c r="M99" s="29"/>
      <c r="N99" s="29"/>
      <c r="O99" s="113"/>
      <c r="P99" s="346" t="s">
        <v>594</v>
      </c>
      <c r="Q99" s="132"/>
      <c r="R99" s="120"/>
      <c r="S99" s="717">
        <f>IF($J$99=T99,1,0)</f>
        <v>0</v>
      </c>
      <c r="T99" s="721" t="s">
        <v>598</v>
      </c>
      <c r="U99" s="721">
        <v>10000</v>
      </c>
      <c r="V99" s="721">
        <v>10000</v>
      </c>
      <c r="W99" s="721">
        <v>3000</v>
      </c>
      <c r="X99" s="721">
        <v>60</v>
      </c>
      <c r="Y99" s="716">
        <f t="shared" si="1"/>
        <v>10000</v>
      </c>
      <c r="Z99" s="716">
        <f t="shared" si="1"/>
        <v>3000</v>
      </c>
      <c r="AA99" s="716">
        <f t="shared" si="1"/>
        <v>60</v>
      </c>
      <c r="AB99" s="132"/>
      <c r="AC99" s="132"/>
      <c r="AD99" s="132"/>
      <c r="AE99" s="132"/>
      <c r="AF99" s="132"/>
      <c r="AG99" s="132"/>
    </row>
    <row r="100" spans="1:33" ht="28.5" customHeight="1" x14ac:dyDescent="0.25">
      <c r="A100" s="112"/>
      <c r="B100" s="29"/>
      <c r="C100" s="605"/>
      <c r="D100" s="210"/>
      <c r="E100" s="706">
        <f>C100*D100</f>
        <v>0</v>
      </c>
      <c r="F100" s="140"/>
      <c r="G100" s="140"/>
      <c r="H100" s="140"/>
      <c r="I100" s="140"/>
      <c r="J100" s="140"/>
      <c r="K100" s="140"/>
      <c r="L100" s="603"/>
      <c r="M100" s="29"/>
      <c r="N100" s="29"/>
      <c r="O100" s="113"/>
      <c r="P100" s="186" t="str">
        <f>IF(D100&gt;25,1,"")</f>
        <v/>
      </c>
      <c r="Q100" s="132"/>
      <c r="R100" s="120"/>
      <c r="S100" s="717">
        <f>IF($J$99=T100,1,0)</f>
        <v>0</v>
      </c>
      <c r="T100" s="721" t="s">
        <v>597</v>
      </c>
      <c r="U100" s="721">
        <v>6000</v>
      </c>
      <c r="V100" s="721">
        <v>10000</v>
      </c>
      <c r="W100" s="721">
        <v>1500</v>
      </c>
      <c r="X100" s="721">
        <v>30</v>
      </c>
      <c r="Y100" s="716">
        <f t="shared" si="1"/>
        <v>10000</v>
      </c>
      <c r="Z100" s="716">
        <f t="shared" si="1"/>
        <v>1500</v>
      </c>
      <c r="AA100" s="716">
        <f t="shared" si="1"/>
        <v>30</v>
      </c>
      <c r="AB100" s="132"/>
      <c r="AC100" s="132"/>
      <c r="AD100" s="132"/>
      <c r="AE100" s="132"/>
      <c r="AF100" s="132"/>
      <c r="AG100" s="132"/>
    </row>
    <row r="101" spans="1:33" ht="28.5" customHeight="1" x14ac:dyDescent="0.25">
      <c r="A101" s="112"/>
      <c r="B101" s="29"/>
      <c r="C101" s="605"/>
      <c r="D101" s="210"/>
      <c r="E101" s="706">
        <f>C101*D101</f>
        <v>0</v>
      </c>
      <c r="F101" s="140"/>
      <c r="G101" s="140"/>
      <c r="H101" s="140"/>
      <c r="I101" s="140"/>
      <c r="J101" s="140"/>
      <c r="K101" s="140"/>
      <c r="L101" s="603"/>
      <c r="M101" s="29"/>
      <c r="N101" s="29"/>
      <c r="O101" s="113"/>
      <c r="P101" s="186" t="str">
        <f>IF(D101&gt;25,1,"")</f>
        <v/>
      </c>
      <c r="Q101" s="132"/>
      <c r="R101" s="120"/>
      <c r="S101" s="717">
        <f>IF($J$99=T101,1,0)</f>
        <v>0</v>
      </c>
      <c r="T101" s="721" t="s">
        <v>336</v>
      </c>
      <c r="U101" s="721">
        <v>0</v>
      </c>
      <c r="V101" s="721">
        <v>6000</v>
      </c>
      <c r="W101" s="721">
        <v>750</v>
      </c>
      <c r="X101" s="721">
        <v>15</v>
      </c>
      <c r="Y101" s="716">
        <f t="shared" si="1"/>
        <v>6000</v>
      </c>
      <c r="Z101" s="716">
        <f t="shared" si="1"/>
        <v>750</v>
      </c>
      <c r="AA101" s="716">
        <f t="shared" si="1"/>
        <v>15</v>
      </c>
      <c r="AB101" s="132"/>
      <c r="AC101" s="132"/>
      <c r="AD101" s="132"/>
      <c r="AE101" s="132"/>
      <c r="AF101" s="132"/>
      <c r="AG101" s="132"/>
    </row>
    <row r="102" spans="1:33" ht="28.5" customHeight="1" x14ac:dyDescent="0.3">
      <c r="A102" s="112"/>
      <c r="B102" s="29"/>
      <c r="C102" s="605"/>
      <c r="D102" s="210"/>
      <c r="E102" s="706">
        <f>C102*D102</f>
        <v>0</v>
      </c>
      <c r="F102" s="140"/>
      <c r="G102" s="949" t="str">
        <f>IF(Q103=1,"Loads weighted more than 25kg are present!","")</f>
        <v/>
      </c>
      <c r="H102" s="949"/>
      <c r="I102" s="949"/>
      <c r="J102" s="949"/>
      <c r="K102" s="140"/>
      <c r="L102" s="603"/>
      <c r="M102" s="29"/>
      <c r="N102" s="29"/>
      <c r="O102" s="113"/>
      <c r="P102" s="186" t="str">
        <f>IF(D102&gt;25,1,"")</f>
        <v/>
      </c>
      <c r="Q102" s="349" t="s">
        <v>594</v>
      </c>
      <c r="R102" s="120"/>
      <c r="S102" s="132"/>
      <c r="T102" s="132"/>
      <c r="U102" s="132"/>
      <c r="V102" s="132"/>
      <c r="W102" s="132"/>
      <c r="X102" s="723" t="s">
        <v>605</v>
      </c>
      <c r="Y102" s="716">
        <f>SUMPRODUCT($S$97:$S$101,Y97:Y101)</f>
        <v>10000</v>
      </c>
      <c r="Z102" s="716">
        <f>SUMPRODUCT($S$97:$S$101,Z97:Z101)</f>
        <v>7200</v>
      </c>
      <c r="AA102" s="716">
        <f>SUMPRODUCT($S$97:$S$101,AA97:AA101)</f>
        <v>120</v>
      </c>
      <c r="AB102" s="132"/>
      <c r="AC102" s="132"/>
      <c r="AD102" s="132"/>
      <c r="AE102" s="132"/>
      <c r="AF102" s="132"/>
      <c r="AG102" s="132"/>
    </row>
    <row r="103" spans="1:33" ht="28.5" customHeight="1" thickBot="1" x14ac:dyDescent="0.35">
      <c r="A103" s="112"/>
      <c r="B103" s="29"/>
      <c r="C103" s="606"/>
      <c r="D103" s="211"/>
      <c r="E103" s="706">
        <f>C103*D103</f>
        <v>0</v>
      </c>
      <c r="F103" s="140"/>
      <c r="G103" s="140"/>
      <c r="H103" s="140"/>
      <c r="I103" s="140"/>
      <c r="J103" s="140"/>
      <c r="K103" s="140"/>
      <c r="L103" s="603"/>
      <c r="M103" s="29"/>
      <c r="N103" s="29"/>
      <c r="O103" s="113"/>
      <c r="P103" s="730" t="str">
        <f>IF(D103&gt;25,1,"")</f>
        <v/>
      </c>
      <c r="Q103" s="186">
        <f>IF(SUM(P100:P103)&gt;0,1,0)</f>
        <v>0</v>
      </c>
      <c r="R103" s="120"/>
      <c r="S103" s="132"/>
      <c r="T103" s="132"/>
      <c r="U103" s="132"/>
      <c r="V103" s="132"/>
      <c r="W103" s="132"/>
      <c r="X103" s="723" t="s">
        <v>603</v>
      </c>
      <c r="Y103" s="719">
        <f>IF(E104&gt;Y102,1,0)</f>
        <v>0</v>
      </c>
      <c r="Z103" s="719" t="e">
        <f>IF(E106&gt;Z102,1,0)</f>
        <v>#DIV/0!</v>
      </c>
      <c r="AA103" s="719" t="e">
        <f>IF(E108&gt;AA102,1,0)</f>
        <v>#DIV/0!</v>
      </c>
      <c r="AB103" s="132"/>
      <c r="AC103" s="132"/>
      <c r="AD103" s="132"/>
      <c r="AE103" s="132"/>
      <c r="AF103" s="132"/>
      <c r="AG103" s="132"/>
    </row>
    <row r="104" spans="1:33" ht="27" customHeight="1" thickBot="1" x14ac:dyDescent="0.35">
      <c r="A104" s="112"/>
      <c r="B104" s="29"/>
      <c r="C104" s="947" t="s">
        <v>589</v>
      </c>
      <c r="D104" s="948"/>
      <c r="E104" s="707">
        <f>SUM(E100:E103)</f>
        <v>0</v>
      </c>
      <c r="F104" s="140"/>
      <c r="G104" s="732" t="str">
        <f>IF(Y103=1,"It exceeds the limit","It does not exceed the limit")</f>
        <v>It does not exceed the limit</v>
      </c>
      <c r="H104" s="140"/>
      <c r="I104" s="140"/>
      <c r="J104" s="140"/>
      <c r="K104" s="140"/>
      <c r="L104" s="603"/>
      <c r="M104" s="29"/>
      <c r="N104" s="29"/>
      <c r="O104" s="113"/>
      <c r="P104" s="729" t="b">
        <f>E104&gt;0</f>
        <v>0</v>
      </c>
      <c r="Q104" s="132"/>
      <c r="R104" s="120"/>
      <c r="S104" s="132"/>
      <c r="T104" s="132"/>
      <c r="U104" s="132"/>
      <c r="V104" s="132"/>
      <c r="W104" s="132"/>
      <c r="X104" s="723" t="s">
        <v>606</v>
      </c>
      <c r="Y104" s="719">
        <f>IF(Q103&gt;0,1,Y103)</f>
        <v>0</v>
      </c>
      <c r="Z104" s="719" t="e">
        <f>Z103</f>
        <v>#DIV/0!</v>
      </c>
      <c r="AA104" s="719" t="e">
        <f>AA103</f>
        <v>#DIV/0!</v>
      </c>
      <c r="AB104" s="132"/>
      <c r="AC104" s="132"/>
      <c r="AD104" s="132"/>
      <c r="AE104" s="132"/>
      <c r="AF104" s="132"/>
      <c r="AG104" s="132"/>
    </row>
    <row r="105" spans="1:33" ht="15.75" customHeight="1" thickBot="1" x14ac:dyDescent="0.3">
      <c r="A105" s="112"/>
      <c r="B105" s="29"/>
      <c r="C105" s="568"/>
      <c r="D105" s="29"/>
      <c r="E105" s="29"/>
      <c r="F105" s="29"/>
      <c r="G105" s="733"/>
      <c r="H105" s="140"/>
      <c r="I105" s="140"/>
      <c r="J105" s="140"/>
      <c r="K105" s="140"/>
      <c r="L105" s="603"/>
      <c r="M105" s="29"/>
      <c r="N105" s="29"/>
      <c r="O105" s="113"/>
      <c r="Q105" s="132"/>
      <c r="R105" s="120"/>
      <c r="S105" s="132"/>
      <c r="T105" s="132"/>
      <c r="U105" s="132"/>
      <c r="V105" s="132"/>
      <c r="W105" s="132"/>
      <c r="X105" s="725" t="s">
        <v>330</v>
      </c>
      <c r="Y105" s="724">
        <v>1</v>
      </c>
      <c r="Z105" s="724">
        <v>0.8</v>
      </c>
      <c r="AA105" s="724">
        <v>0.6</v>
      </c>
      <c r="AB105" s="132"/>
      <c r="AC105" s="132"/>
      <c r="AD105" s="132"/>
      <c r="AE105" s="132"/>
      <c r="AF105" s="132"/>
      <c r="AG105" s="132"/>
    </row>
    <row r="106" spans="1:33" ht="28.5" customHeight="1" thickBot="1" x14ac:dyDescent="0.25">
      <c r="A106" s="112"/>
      <c r="B106" s="29"/>
      <c r="C106" s="947" t="s">
        <v>607</v>
      </c>
      <c r="D106" s="948"/>
      <c r="E106" s="707" t="e">
        <f>E104/D98*60</f>
        <v>#DIV/0!</v>
      </c>
      <c r="F106" s="31"/>
      <c r="G106" s="732" t="e">
        <f>IF(Z103=1,"It exceeds the limit","It does not exceed the limit")</f>
        <v>#DIV/0!</v>
      </c>
      <c r="H106" s="31"/>
      <c r="I106" s="31"/>
      <c r="J106" s="31"/>
      <c r="K106" s="31"/>
      <c r="L106" s="728"/>
      <c r="M106" s="29"/>
      <c r="N106" s="29"/>
      <c r="O106" s="113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</row>
    <row r="107" spans="1:33" ht="18" customHeight="1" thickBot="1" x14ac:dyDescent="0.25">
      <c r="A107" s="29"/>
      <c r="B107" s="29"/>
      <c r="C107" s="568"/>
      <c r="D107" s="29"/>
      <c r="E107" s="29"/>
      <c r="F107" s="31"/>
      <c r="G107" s="732"/>
      <c r="H107" s="31"/>
      <c r="I107" s="31"/>
      <c r="J107" s="31"/>
      <c r="K107" s="31"/>
      <c r="L107" s="728"/>
      <c r="M107" s="29"/>
      <c r="N107" s="29"/>
      <c r="O107" s="113"/>
      <c r="Q107" s="181"/>
      <c r="R107" s="29"/>
      <c r="S107" s="132"/>
      <c r="T107" s="132"/>
      <c r="U107" s="132"/>
      <c r="V107" s="132"/>
      <c r="W107" s="132"/>
      <c r="X107" s="727" t="s">
        <v>330</v>
      </c>
      <c r="Y107" s="726" t="e">
        <f>IF(Y104=1,Y105,IF(Z104=1,Z105,IF(AA104=1,AA105,0)))</f>
        <v>#DIV/0!</v>
      </c>
      <c r="Z107" s="302" t="s">
        <v>547</v>
      </c>
      <c r="AA107" s="132"/>
      <c r="AB107" s="132"/>
      <c r="AC107" s="132"/>
      <c r="AD107" s="132"/>
      <c r="AE107" s="132"/>
      <c r="AF107" s="132"/>
      <c r="AG107" s="132"/>
    </row>
    <row r="108" spans="1:33" ht="28.5" customHeight="1" thickBot="1" x14ac:dyDescent="0.25">
      <c r="A108" s="112"/>
      <c r="B108" s="29"/>
      <c r="C108" s="947" t="s">
        <v>608</v>
      </c>
      <c r="D108" s="948"/>
      <c r="E108" s="707" t="e">
        <f>E104/D98</f>
        <v>#DIV/0!</v>
      </c>
      <c r="F108" s="31"/>
      <c r="G108" s="732" t="e">
        <f>IF(AA103=1,"It exceeds the limit","It does not exceed the limit")</f>
        <v>#DIV/0!</v>
      </c>
      <c r="H108" s="31"/>
      <c r="I108" s="31"/>
      <c r="J108" s="31"/>
      <c r="K108" s="31"/>
      <c r="L108" s="728"/>
      <c r="M108" s="29"/>
      <c r="N108" s="29"/>
      <c r="O108" s="113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</row>
    <row r="109" spans="1:33" ht="22.5" customHeight="1" x14ac:dyDescent="0.2">
      <c r="A109" s="112"/>
      <c r="B109" s="29"/>
      <c r="C109" s="568"/>
      <c r="D109" s="29"/>
      <c r="E109" s="29"/>
      <c r="F109" s="29"/>
      <c r="G109" s="29"/>
      <c r="H109" s="29"/>
      <c r="I109" s="29"/>
      <c r="J109" s="29"/>
      <c r="K109" s="29"/>
      <c r="L109" s="569"/>
      <c r="M109" s="29"/>
      <c r="N109" s="29"/>
      <c r="O109" s="113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</row>
    <row r="110" spans="1:33" ht="28.5" customHeight="1" thickBot="1" x14ac:dyDescent="0.3">
      <c r="A110" s="112"/>
      <c r="B110" s="29"/>
      <c r="C110" s="1006" t="s">
        <v>609</v>
      </c>
      <c r="D110" s="958"/>
      <c r="E110" s="958"/>
      <c r="F110" s="958"/>
      <c r="G110" s="958"/>
      <c r="H110" s="580" t="s">
        <v>273</v>
      </c>
      <c r="I110" s="571"/>
      <c r="J110" s="590"/>
      <c r="K110" s="591" t="s">
        <v>274</v>
      </c>
      <c r="L110" s="575"/>
      <c r="M110" s="29"/>
      <c r="N110" s="163"/>
      <c r="O110" s="113"/>
      <c r="P110" s="191" t="b">
        <f>OR(L110&lt;&gt;"",I110&lt;&gt;"")</f>
        <v>0</v>
      </c>
      <c r="Q110" s="132"/>
      <c r="R110" s="120"/>
      <c r="S110" s="120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</row>
    <row r="111" spans="1:33" ht="22.5" customHeight="1" x14ac:dyDescent="0.2">
      <c r="A111" s="1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113"/>
      <c r="P111" s="731">
        <f>IF(P93,IF(AND(P97,P98,P104,P110),1,0),1)</f>
        <v>1</v>
      </c>
      <c r="Q111" s="302" t="s">
        <v>304</v>
      </c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</row>
    <row r="112" spans="1:33" s="10" customFormat="1" ht="11.25" customHeight="1" x14ac:dyDescent="0.2">
      <c r="A112" s="55"/>
      <c r="B112" s="937" t="s">
        <v>18</v>
      </c>
      <c r="C112" s="910" t="s">
        <v>201</v>
      </c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113"/>
      <c r="P112" s="150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</row>
    <row r="113" spans="1:33" s="10" customFormat="1" ht="29.25" customHeight="1" x14ac:dyDescent="0.2">
      <c r="A113" s="55"/>
      <c r="B113" s="937"/>
      <c r="C113" s="910"/>
      <c r="D113" s="910"/>
      <c r="E113" s="910"/>
      <c r="F113" s="910"/>
      <c r="G113" s="910"/>
      <c r="H113" s="910"/>
      <c r="I113" s="910"/>
      <c r="J113" s="910"/>
      <c r="K113" s="910"/>
      <c r="L113" s="910"/>
      <c r="M113" s="910"/>
      <c r="N113" s="910"/>
      <c r="O113" s="113"/>
      <c r="P113" s="150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</row>
    <row r="114" spans="1:33" s="10" customFormat="1" ht="8.25" customHeight="1" x14ac:dyDescent="0.2">
      <c r="A114" s="55"/>
      <c r="B114" s="937"/>
      <c r="C114" s="910"/>
      <c r="D114" s="910"/>
      <c r="E114" s="910"/>
      <c r="F114" s="910"/>
      <c r="G114" s="910"/>
      <c r="H114" s="910"/>
      <c r="I114" s="910"/>
      <c r="J114" s="910"/>
      <c r="K114" s="910"/>
      <c r="L114" s="910"/>
      <c r="M114" s="910"/>
      <c r="N114" s="910"/>
      <c r="O114" s="113"/>
      <c r="P114" s="150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</row>
    <row r="115" spans="1:33" ht="13.5" customHeight="1" x14ac:dyDescent="0.2">
      <c r="A115" s="112"/>
      <c r="B115" s="143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55"/>
      <c r="N115" s="155"/>
      <c r="O115" s="113"/>
      <c r="P115" s="150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</row>
    <row r="116" spans="1:33" ht="16.5" customHeight="1" x14ac:dyDescent="0.25">
      <c r="A116" s="112"/>
      <c r="B116" s="29"/>
      <c r="C116" s="913" t="s">
        <v>241</v>
      </c>
      <c r="D116" s="913"/>
      <c r="E116" s="913"/>
      <c r="F116" s="913"/>
      <c r="G116" s="913"/>
      <c r="H116" s="913"/>
      <c r="I116" s="913"/>
      <c r="J116" s="913"/>
      <c r="K116" s="913"/>
      <c r="L116" s="913"/>
      <c r="M116" s="29"/>
      <c r="N116" s="911" t="str">
        <f>IF('HAZARDS-GEN'!L54="","NO","YES")</f>
        <v>NO</v>
      </c>
      <c r="O116" s="113"/>
      <c r="P116" s="617">
        <f>IF(N116="YES",1,0)</f>
        <v>0</v>
      </c>
      <c r="Q116" s="132"/>
      <c r="R116" s="120"/>
      <c r="S116" s="132"/>
      <c r="T116" s="223" t="s">
        <v>355</v>
      </c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</row>
    <row r="117" spans="1:33" ht="20.25" customHeight="1" x14ac:dyDescent="0.25">
      <c r="A117" s="112"/>
      <c r="B117" s="29"/>
      <c r="C117" s="913"/>
      <c r="D117" s="913"/>
      <c r="E117" s="913"/>
      <c r="F117" s="913"/>
      <c r="G117" s="913"/>
      <c r="H117" s="913"/>
      <c r="I117" s="913"/>
      <c r="J117" s="913"/>
      <c r="K117" s="913"/>
      <c r="L117" s="913"/>
      <c r="M117" s="29"/>
      <c r="N117" s="912"/>
      <c r="O117" s="113"/>
      <c r="Q117" s="132"/>
      <c r="R117" s="120"/>
      <c r="S117" s="132"/>
      <c r="T117" s="237">
        <v>0.5</v>
      </c>
      <c r="U117" s="919" t="s">
        <v>356</v>
      </c>
      <c r="V117" s="919"/>
      <c r="W117" s="919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</row>
    <row r="118" spans="1:33" ht="20.25" customHeight="1" x14ac:dyDescent="0.2">
      <c r="A118" s="112"/>
      <c r="B118" s="29"/>
      <c r="C118" s="938" t="str">
        <f>IF(P116=0,"Pushing and pulling is not present. Skip block B4",IF(W158=1,"","Please, proceed to answer these questions"))</f>
        <v>Pushing and pulling is not present. Skip block B4</v>
      </c>
      <c r="D118" s="938"/>
      <c r="E118" s="938"/>
      <c r="F118" s="938"/>
      <c r="G118" s="938"/>
      <c r="H118" s="938"/>
      <c r="I118" s="938"/>
      <c r="J118" s="938"/>
      <c r="K118" s="938"/>
      <c r="L118" s="938"/>
      <c r="M118" s="155"/>
      <c r="N118" s="155"/>
      <c r="O118" s="113"/>
      <c r="Q118" s="132"/>
      <c r="R118" s="132"/>
      <c r="S118" s="132"/>
      <c r="T118" s="237">
        <v>1</v>
      </c>
      <c r="U118" s="919" t="s">
        <v>357</v>
      </c>
      <c r="V118" s="919"/>
      <c r="W118" s="919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</row>
    <row r="119" spans="1:33" ht="12" customHeight="1" x14ac:dyDescent="0.2">
      <c r="A119" s="1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55"/>
      <c r="N119" s="155"/>
      <c r="O119" s="113"/>
      <c r="Q119" s="132"/>
      <c r="R119" s="132"/>
      <c r="S119" s="132"/>
      <c r="T119" s="237">
        <v>2</v>
      </c>
      <c r="U119" s="919" t="s">
        <v>358</v>
      </c>
      <c r="V119" s="919"/>
      <c r="W119" s="919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</row>
    <row r="120" spans="1:33" ht="15.75" customHeight="1" x14ac:dyDescent="0.2">
      <c r="A120" s="112"/>
      <c r="B120" s="29"/>
      <c r="C120" s="29"/>
      <c r="D120" s="29"/>
      <c r="E120" s="29"/>
      <c r="F120" s="29"/>
      <c r="G120" s="29"/>
      <c r="H120" s="230" t="str">
        <f>IF(N116="NO","",IF(H121="","Please, select de value in Borg CR-10 Scale",""))</f>
        <v/>
      </c>
      <c r="I120" s="29"/>
      <c r="J120" s="29"/>
      <c r="K120" s="29"/>
      <c r="L120" s="29"/>
      <c r="M120" s="155"/>
      <c r="N120" s="155"/>
      <c r="O120" s="113"/>
      <c r="P120" s="224" t="s">
        <v>367</v>
      </c>
      <c r="Q120" s="302" t="s">
        <v>304</v>
      </c>
      <c r="R120" s="132"/>
      <c r="S120" s="132"/>
      <c r="T120" s="237">
        <v>3</v>
      </c>
      <c r="U120" s="919" t="s">
        <v>359</v>
      </c>
      <c r="V120" s="919"/>
      <c r="W120" s="919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</row>
    <row r="121" spans="1:33" ht="26.1" customHeight="1" x14ac:dyDescent="0.2">
      <c r="A121" s="112"/>
      <c r="B121" s="29"/>
      <c r="C121" s="981" t="s">
        <v>354</v>
      </c>
      <c r="D121" s="981"/>
      <c r="E121" s="981"/>
      <c r="F121" s="981"/>
      <c r="G121" s="981"/>
      <c r="H121" s="1010" t="s">
        <v>359</v>
      </c>
      <c r="I121" s="1011"/>
      <c r="J121" s="1011"/>
      <c r="K121" s="1011"/>
      <c r="L121" s="1012"/>
      <c r="M121" s="29"/>
      <c r="N121" s="29"/>
      <c r="O121" s="113"/>
      <c r="P121" s="191">
        <f>IF(H121="","",LOOKUP(H121,U117:U127,T117:T127))</f>
        <v>3</v>
      </c>
      <c r="Q121" s="303">
        <f>IF(H121&lt;&gt;"",1,0)</f>
        <v>1</v>
      </c>
      <c r="R121" s="132"/>
      <c r="S121" s="132"/>
      <c r="T121" s="237">
        <v>4</v>
      </c>
      <c r="U121" s="919" t="s">
        <v>360</v>
      </c>
      <c r="V121" s="919"/>
      <c r="W121" s="919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</row>
    <row r="122" spans="1:33" ht="18.75" customHeight="1" thickBot="1" x14ac:dyDescent="0.25">
      <c r="A122" s="1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55"/>
      <c r="N122" s="155"/>
      <c r="O122" s="113"/>
      <c r="Q122" s="132"/>
      <c r="R122" s="132"/>
      <c r="S122" s="132"/>
      <c r="T122" s="237">
        <v>5</v>
      </c>
      <c r="U122" s="919" t="s">
        <v>361</v>
      </c>
      <c r="V122" s="919"/>
      <c r="W122" s="919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</row>
    <row r="123" spans="1:33" ht="34.5" customHeight="1" x14ac:dyDescent="0.2">
      <c r="A123" s="112"/>
      <c r="B123" s="29"/>
      <c r="C123" s="978" t="s">
        <v>501</v>
      </c>
      <c r="D123" s="979"/>
      <c r="E123" s="979"/>
      <c r="F123" s="979"/>
      <c r="G123" s="979"/>
      <c r="H123" s="979"/>
      <c r="I123" s="979"/>
      <c r="J123" s="979"/>
      <c r="K123" s="979"/>
      <c r="L123" s="980"/>
      <c r="M123" s="29"/>
      <c r="N123" s="29"/>
      <c r="O123" s="113"/>
      <c r="Q123" s="132"/>
      <c r="R123" s="132"/>
      <c r="S123" s="132"/>
      <c r="T123" s="237">
        <v>6</v>
      </c>
      <c r="U123" s="919" t="s">
        <v>362</v>
      </c>
      <c r="V123" s="919"/>
      <c r="W123" s="919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</row>
    <row r="124" spans="1:33" ht="14.1" customHeight="1" x14ac:dyDescent="0.2">
      <c r="A124" s="112"/>
      <c r="B124" s="29"/>
      <c r="C124" s="607"/>
      <c r="D124" s="148"/>
      <c r="E124" s="148"/>
      <c r="F124" s="148"/>
      <c r="G124" s="148"/>
      <c r="H124" s="148"/>
      <c r="I124" s="148"/>
      <c r="J124" s="148"/>
      <c r="K124" s="148"/>
      <c r="L124" s="608"/>
      <c r="M124" s="155"/>
      <c r="N124" s="155"/>
      <c r="O124" s="113"/>
      <c r="Q124" s="132"/>
      <c r="R124" s="221"/>
      <c r="S124" s="132"/>
      <c r="T124" s="237">
        <v>7</v>
      </c>
      <c r="U124" s="919" t="s">
        <v>363</v>
      </c>
      <c r="V124" s="919"/>
      <c r="W124" s="919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</row>
    <row r="125" spans="1:33" ht="24.75" customHeight="1" x14ac:dyDescent="0.2">
      <c r="A125" s="112"/>
      <c r="B125" s="29"/>
      <c r="C125" s="922" t="s">
        <v>343</v>
      </c>
      <c r="D125" s="923"/>
      <c r="E125" s="923"/>
      <c r="F125" s="923"/>
      <c r="G125" s="923"/>
      <c r="H125" s="923"/>
      <c r="I125" s="923"/>
      <c r="J125" s="923"/>
      <c r="K125" s="923"/>
      <c r="L125" s="924"/>
      <c r="M125" s="154"/>
      <c r="N125" s="154"/>
      <c r="O125" s="113"/>
      <c r="P125" s="193" t="s">
        <v>274</v>
      </c>
      <c r="Q125" s="181"/>
      <c r="R125" s="29"/>
      <c r="S125" s="132"/>
      <c r="T125" s="237">
        <v>8</v>
      </c>
      <c r="U125" s="919" t="s">
        <v>364</v>
      </c>
      <c r="V125" s="919"/>
      <c r="W125" s="919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</row>
    <row r="126" spans="1:33" ht="9" customHeight="1" x14ac:dyDescent="0.2">
      <c r="A126" s="29"/>
      <c r="B126" s="29"/>
      <c r="C126" s="568"/>
      <c r="D126" s="29"/>
      <c r="E126" s="29"/>
      <c r="F126" s="29"/>
      <c r="G126" s="29"/>
      <c r="H126" s="29"/>
      <c r="I126" s="29"/>
      <c r="J126" s="29"/>
      <c r="K126" s="29"/>
      <c r="L126" s="569"/>
      <c r="M126" s="29"/>
      <c r="N126" s="29"/>
      <c r="O126" s="113"/>
      <c r="P126" s="151"/>
      <c r="Q126" s="181"/>
      <c r="R126" s="29"/>
      <c r="S126" s="132"/>
      <c r="T126" s="237">
        <v>9</v>
      </c>
      <c r="U126" s="919" t="s">
        <v>365</v>
      </c>
      <c r="V126" s="919"/>
      <c r="W126" s="919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</row>
    <row r="127" spans="1:33" ht="31.5" customHeight="1" x14ac:dyDescent="0.25">
      <c r="A127" s="112"/>
      <c r="B127" s="29"/>
      <c r="C127" s="932" t="s">
        <v>252</v>
      </c>
      <c r="D127" s="933"/>
      <c r="E127" s="933"/>
      <c r="F127" s="933"/>
      <c r="G127" s="934"/>
      <c r="H127" s="610" t="s">
        <v>273</v>
      </c>
      <c r="I127" s="28"/>
      <c r="J127" s="120"/>
      <c r="K127" s="612" t="s">
        <v>274</v>
      </c>
      <c r="L127" s="573"/>
      <c r="M127" s="29"/>
      <c r="N127" s="29"/>
      <c r="O127" s="113"/>
      <c r="P127" s="191">
        <f>IF(L127&lt;&gt;"",1,0)</f>
        <v>0</v>
      </c>
      <c r="Q127" s="29"/>
      <c r="R127" s="29"/>
      <c r="S127" s="132"/>
      <c r="T127" s="237">
        <v>10</v>
      </c>
      <c r="U127" s="919" t="s">
        <v>366</v>
      </c>
      <c r="V127" s="919"/>
      <c r="W127" s="919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</row>
    <row r="128" spans="1:33" ht="26.1" customHeight="1" x14ac:dyDescent="0.25">
      <c r="A128" s="112"/>
      <c r="B128" s="29"/>
      <c r="C128" s="935" t="s">
        <v>253</v>
      </c>
      <c r="D128" s="936"/>
      <c r="E128" s="936"/>
      <c r="F128" s="936"/>
      <c r="G128" s="936"/>
      <c r="H128" s="610" t="s">
        <v>273</v>
      </c>
      <c r="I128" s="183"/>
      <c r="J128" s="120"/>
      <c r="K128" s="612" t="s">
        <v>274</v>
      </c>
      <c r="L128" s="573"/>
      <c r="M128" s="29"/>
      <c r="N128" s="29"/>
      <c r="O128" s="113"/>
      <c r="P128" s="191">
        <f>IF(L128&lt;&gt;"",1,0)</f>
        <v>0</v>
      </c>
      <c r="Q128" s="29"/>
      <c r="R128" s="29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</row>
    <row r="129" spans="1:36" ht="26.1" customHeight="1" x14ac:dyDescent="0.25">
      <c r="A129" s="112"/>
      <c r="B129" s="29"/>
      <c r="C129" s="935" t="s">
        <v>254</v>
      </c>
      <c r="D129" s="936"/>
      <c r="E129" s="936"/>
      <c r="F129" s="936"/>
      <c r="G129" s="936"/>
      <c r="H129" s="610" t="s">
        <v>273</v>
      </c>
      <c r="I129" s="183"/>
      <c r="J129" s="120"/>
      <c r="K129" s="612" t="s">
        <v>274</v>
      </c>
      <c r="L129" s="573"/>
      <c r="M129" s="29"/>
      <c r="N129" s="29"/>
      <c r="O129" s="113"/>
      <c r="P129" s="191">
        <f>IF(L129&lt;&gt;"",1,0)</f>
        <v>0</v>
      </c>
      <c r="Q129" s="29"/>
      <c r="R129" s="29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</row>
    <row r="130" spans="1:36" ht="26.25" customHeight="1" x14ac:dyDescent="0.2">
      <c r="A130" s="29"/>
      <c r="B130" s="29"/>
      <c r="C130" s="568"/>
      <c r="D130" s="29"/>
      <c r="E130" s="29"/>
      <c r="F130" s="29"/>
      <c r="G130" s="29"/>
      <c r="H130" s="29"/>
      <c r="I130" s="29"/>
      <c r="J130" s="29"/>
      <c r="K130" s="29"/>
      <c r="L130" s="569"/>
      <c r="M130" s="29"/>
      <c r="N130" s="29"/>
      <c r="O130" s="113"/>
      <c r="P130" s="150"/>
      <c r="Q130" s="29"/>
      <c r="R130" s="29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</row>
    <row r="131" spans="1:36" ht="24.75" customHeight="1" x14ac:dyDescent="0.2">
      <c r="A131" s="112"/>
      <c r="B131" s="29"/>
      <c r="C131" s="922" t="s">
        <v>344</v>
      </c>
      <c r="D131" s="923"/>
      <c r="E131" s="923"/>
      <c r="F131" s="923"/>
      <c r="G131" s="923"/>
      <c r="H131" s="923"/>
      <c r="I131" s="923"/>
      <c r="J131" s="923"/>
      <c r="K131" s="923"/>
      <c r="L131" s="924"/>
      <c r="M131" s="29"/>
      <c r="N131" s="29"/>
      <c r="O131" s="113"/>
      <c r="P131" s="193" t="s">
        <v>274</v>
      </c>
      <c r="Q131" s="29"/>
      <c r="R131" s="29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</row>
    <row r="132" spans="1:36" ht="9.75" customHeight="1" x14ac:dyDescent="0.2">
      <c r="A132" s="29"/>
      <c r="B132" s="29"/>
      <c r="C132" s="568"/>
      <c r="D132" s="29"/>
      <c r="E132" s="29"/>
      <c r="F132" s="29"/>
      <c r="G132" s="29"/>
      <c r="H132" s="29"/>
      <c r="I132" s="29"/>
      <c r="J132" s="29"/>
      <c r="K132" s="29"/>
      <c r="L132" s="569"/>
      <c r="M132" s="29"/>
      <c r="N132" s="29"/>
      <c r="O132" s="113"/>
      <c r="Q132" s="29"/>
      <c r="R132" s="29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</row>
    <row r="133" spans="1:36" ht="26.1" customHeight="1" x14ac:dyDescent="0.25">
      <c r="A133" s="112"/>
      <c r="B133" s="29"/>
      <c r="C133" s="920" t="s">
        <v>345</v>
      </c>
      <c r="D133" s="921"/>
      <c r="E133" s="921"/>
      <c r="F133" s="921"/>
      <c r="G133" s="921"/>
      <c r="H133" s="610" t="s">
        <v>273</v>
      </c>
      <c r="I133" s="28"/>
      <c r="J133" s="120"/>
      <c r="K133" s="612" t="s">
        <v>274</v>
      </c>
      <c r="L133" s="573"/>
      <c r="M133" s="29"/>
      <c r="N133" s="29"/>
      <c r="O133" s="113"/>
      <c r="P133" s="191">
        <f>IF(L133&lt;&gt;"",1,0)</f>
        <v>0</v>
      </c>
      <c r="Q133" s="29"/>
      <c r="R133" s="29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</row>
    <row r="134" spans="1:36" ht="26.1" customHeight="1" x14ac:dyDescent="0.25">
      <c r="A134" s="112"/>
      <c r="B134" s="29"/>
      <c r="C134" s="920" t="s">
        <v>255</v>
      </c>
      <c r="D134" s="921"/>
      <c r="E134" s="921"/>
      <c r="F134" s="921"/>
      <c r="G134" s="921"/>
      <c r="H134" s="610" t="s">
        <v>273</v>
      </c>
      <c r="I134" s="28"/>
      <c r="J134" s="120"/>
      <c r="K134" s="612" t="s">
        <v>274</v>
      </c>
      <c r="L134" s="573"/>
      <c r="M134" s="29"/>
      <c r="N134" s="29"/>
      <c r="O134" s="113"/>
      <c r="P134" s="191">
        <f>IF(L134&lt;&gt;"",1,0)</f>
        <v>0</v>
      </c>
      <c r="Q134" s="29"/>
      <c r="R134" s="29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</row>
    <row r="135" spans="1:36" ht="39.75" customHeight="1" x14ac:dyDescent="0.25">
      <c r="A135" s="112"/>
      <c r="B135" s="29"/>
      <c r="C135" s="920" t="s">
        <v>346</v>
      </c>
      <c r="D135" s="921"/>
      <c r="E135" s="921"/>
      <c r="F135" s="921"/>
      <c r="G135" s="921"/>
      <c r="H135" s="610" t="s">
        <v>273</v>
      </c>
      <c r="I135" s="28"/>
      <c r="J135" s="120"/>
      <c r="K135" s="612" t="s">
        <v>274</v>
      </c>
      <c r="L135" s="573"/>
      <c r="M135" s="29"/>
      <c r="N135" s="29"/>
      <c r="O135" s="113"/>
      <c r="P135" s="191">
        <f>IF(L135&lt;&gt;"",1,0)</f>
        <v>0</v>
      </c>
      <c r="Q135" s="29"/>
      <c r="R135" s="29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</row>
    <row r="136" spans="1:36" ht="26.1" customHeight="1" x14ac:dyDescent="0.25">
      <c r="A136" s="112"/>
      <c r="B136" s="29"/>
      <c r="C136" s="920" t="s">
        <v>347</v>
      </c>
      <c r="D136" s="921"/>
      <c r="E136" s="921"/>
      <c r="F136" s="921"/>
      <c r="G136" s="921"/>
      <c r="H136" s="610" t="s">
        <v>273</v>
      </c>
      <c r="I136" s="28"/>
      <c r="J136" s="120"/>
      <c r="K136" s="612" t="s">
        <v>274</v>
      </c>
      <c r="L136" s="573"/>
      <c r="M136" s="29"/>
      <c r="N136" s="29"/>
      <c r="O136" s="113"/>
      <c r="P136" s="191">
        <f>IF(L136&lt;&gt;"",1,0)</f>
        <v>0</v>
      </c>
      <c r="Q136" s="29"/>
      <c r="R136" s="29"/>
      <c r="S136" s="697">
        <f>LOOKUP(S137,W22:X31)</f>
        <v>0</v>
      </c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</row>
    <row r="137" spans="1:36" ht="26.1" customHeight="1" thickBot="1" x14ac:dyDescent="0.3">
      <c r="A137" s="112"/>
      <c r="B137" s="29"/>
      <c r="C137" s="962" t="s">
        <v>256</v>
      </c>
      <c r="D137" s="963"/>
      <c r="E137" s="963"/>
      <c r="F137" s="963"/>
      <c r="G137" s="963"/>
      <c r="H137" s="611" t="s">
        <v>273</v>
      </c>
      <c r="I137" s="571"/>
      <c r="J137" s="590"/>
      <c r="K137" s="613" t="s">
        <v>274</v>
      </c>
      <c r="L137" s="575"/>
      <c r="M137" s="29"/>
      <c r="N137" s="592"/>
      <c r="O137" s="113"/>
      <c r="P137" s="191">
        <f>IF(L137&lt;&gt;"",1,0)</f>
        <v>0</v>
      </c>
      <c r="Q137" s="29"/>
      <c r="R137" s="225" t="s">
        <v>368</v>
      </c>
      <c r="S137" s="227">
        <f>SUM(P127:P137)</f>
        <v>0</v>
      </c>
      <c r="T137" s="233" t="s">
        <v>372</v>
      </c>
      <c r="U137" s="226">
        <f>IF(S137&gt;0,0.2,0)</f>
        <v>0</v>
      </c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</row>
    <row r="138" spans="1:36" ht="30" customHeight="1" thickBot="1" x14ac:dyDescent="0.25">
      <c r="A138" s="112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155"/>
      <c r="N138" s="155"/>
      <c r="O138" s="113"/>
      <c r="Q138" s="222"/>
      <c r="R138" s="22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</row>
    <row r="139" spans="1:36" s="2" customFormat="1" ht="69" customHeight="1" x14ac:dyDescent="0.2">
      <c r="A139" s="112"/>
      <c r="B139" s="29"/>
      <c r="C139" s="939" t="s">
        <v>576</v>
      </c>
      <c r="D139" s="940"/>
      <c r="E139" s="940"/>
      <c r="F139" s="940"/>
      <c r="G139" s="940"/>
      <c r="H139" s="940"/>
      <c r="I139" s="940"/>
      <c r="J139" s="940"/>
      <c r="K139" s="940"/>
      <c r="L139" s="941"/>
      <c r="M139" s="29"/>
      <c r="N139" s="29"/>
      <c r="O139" s="113"/>
      <c r="P139" s="193" t="s">
        <v>274</v>
      </c>
      <c r="Q139" s="222"/>
      <c r="R139" s="296" t="s">
        <v>304</v>
      </c>
      <c r="S139" s="566">
        <f>IF(AND(OR(I141&lt;&gt;"",L141&lt;&gt;""),OR(I142&lt;&gt;"",L142&lt;&gt;""),OR(I143&lt;&gt;"",L143&lt;&gt;""),OR(I144&lt;&gt;"",L144&lt;&gt;""),OR(I145&lt;&gt;"",L145&lt;&gt;"")),1,0)</f>
        <v>0</v>
      </c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</row>
    <row r="140" spans="1:36" s="2" customFormat="1" ht="14.1" customHeight="1" x14ac:dyDescent="0.25">
      <c r="A140" s="112"/>
      <c r="B140" s="29"/>
      <c r="C140" s="607"/>
      <c r="D140" s="148"/>
      <c r="E140" s="148"/>
      <c r="F140" s="148"/>
      <c r="G140" s="148"/>
      <c r="H140" s="148"/>
      <c r="I140" s="148"/>
      <c r="J140" s="148"/>
      <c r="K140" s="148"/>
      <c r="L140" s="608"/>
      <c r="M140" s="148"/>
      <c r="N140" s="148"/>
      <c r="O140" s="113"/>
      <c r="P140" s="149"/>
      <c r="Q140" s="222"/>
      <c r="R140" s="22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3"/>
      <c r="AI140" s="3"/>
      <c r="AJ140" s="4"/>
    </row>
    <row r="141" spans="1:36" s="2" customFormat="1" ht="60" customHeight="1" x14ac:dyDescent="0.25">
      <c r="A141" s="112"/>
      <c r="B141" s="29"/>
      <c r="C141" s="932" t="s">
        <v>349</v>
      </c>
      <c r="D141" s="933"/>
      <c r="E141" s="933"/>
      <c r="F141" s="933"/>
      <c r="G141" s="934"/>
      <c r="H141" s="477" t="s">
        <v>273</v>
      </c>
      <c r="I141" s="512" t="str">
        <f>IF(AND(Q121=1,L141=""),"X","")</f>
        <v>X</v>
      </c>
      <c r="J141" s="120"/>
      <c r="K141" s="484" t="s">
        <v>274</v>
      </c>
      <c r="L141" s="614" t="str">
        <f>IF(P121&lt;=2,"X","")</f>
        <v/>
      </c>
      <c r="M141" s="29"/>
      <c r="N141" s="29"/>
      <c r="O141" s="113"/>
      <c r="P141" s="309">
        <f>IF(L141&lt;&gt;"",1,0)</f>
        <v>0</v>
      </c>
      <c r="Q141" s="222"/>
      <c r="R141" s="225" t="s">
        <v>368</v>
      </c>
      <c r="S141" s="227">
        <f>SUM(P141:P145)</f>
        <v>0</v>
      </c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3"/>
      <c r="AI141" s="3"/>
      <c r="AJ141" s="4"/>
    </row>
    <row r="142" spans="1:36" ht="26.1" customHeight="1" x14ac:dyDescent="0.25">
      <c r="A142" s="112"/>
      <c r="B142" s="29"/>
      <c r="C142" s="935" t="s">
        <v>246</v>
      </c>
      <c r="D142" s="936"/>
      <c r="E142" s="936"/>
      <c r="F142" s="936"/>
      <c r="G142" s="936"/>
      <c r="H142" s="477" t="s">
        <v>273</v>
      </c>
      <c r="I142" s="28"/>
      <c r="J142" s="120"/>
      <c r="K142" s="484" t="s">
        <v>274</v>
      </c>
      <c r="L142" s="573"/>
      <c r="M142" s="29"/>
      <c r="N142" s="29"/>
      <c r="O142" s="113"/>
      <c r="P142" s="309">
        <f>IF(L142&lt;&gt;"",1,0)</f>
        <v>0</v>
      </c>
      <c r="Q142" s="222"/>
      <c r="R142" s="22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</row>
    <row r="143" spans="1:36" ht="26.1" customHeight="1" x14ac:dyDescent="0.25">
      <c r="A143" s="112"/>
      <c r="B143" s="29"/>
      <c r="C143" s="935" t="s">
        <v>247</v>
      </c>
      <c r="D143" s="936"/>
      <c r="E143" s="936"/>
      <c r="F143" s="936"/>
      <c r="G143" s="936"/>
      <c r="H143" s="477" t="s">
        <v>273</v>
      </c>
      <c r="I143" s="28"/>
      <c r="J143" s="120"/>
      <c r="K143" s="484" t="s">
        <v>274</v>
      </c>
      <c r="L143" s="573"/>
      <c r="M143" s="29"/>
      <c r="N143" s="29"/>
      <c r="O143" s="113"/>
      <c r="P143" s="309">
        <f>IF(L143&lt;&gt;"",1,0)</f>
        <v>0</v>
      </c>
      <c r="Q143" s="222"/>
      <c r="R143" s="22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</row>
    <row r="144" spans="1:36" ht="26.1" customHeight="1" x14ac:dyDescent="0.25">
      <c r="A144" s="112"/>
      <c r="B144" s="29"/>
      <c r="C144" s="935" t="s">
        <v>248</v>
      </c>
      <c r="D144" s="936"/>
      <c r="E144" s="936"/>
      <c r="F144" s="936"/>
      <c r="G144" s="936"/>
      <c r="H144" s="477" t="s">
        <v>273</v>
      </c>
      <c r="I144" s="28"/>
      <c r="J144" s="120"/>
      <c r="K144" s="484" t="s">
        <v>274</v>
      </c>
      <c r="L144" s="573"/>
      <c r="M144" s="29"/>
      <c r="N144" s="29"/>
      <c r="O144" s="113"/>
      <c r="P144" s="309">
        <f>IF(L144&lt;&gt;"",1,0)</f>
        <v>0</v>
      </c>
      <c r="Q144" s="222"/>
      <c r="R144" s="22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</row>
    <row r="145" spans="1:36" ht="26.1" customHeight="1" thickBot="1" x14ac:dyDescent="0.3">
      <c r="A145" s="112"/>
      <c r="B145" s="29"/>
      <c r="C145" s="964" t="s">
        <v>348</v>
      </c>
      <c r="D145" s="965"/>
      <c r="E145" s="965"/>
      <c r="F145" s="965"/>
      <c r="G145" s="965"/>
      <c r="H145" s="609" t="s">
        <v>273</v>
      </c>
      <c r="I145" s="571"/>
      <c r="J145" s="590"/>
      <c r="K145" s="570" t="s">
        <v>274</v>
      </c>
      <c r="L145" s="575"/>
      <c r="M145" s="29"/>
      <c r="N145" s="293"/>
      <c r="O145" s="113"/>
      <c r="P145" s="309">
        <f>IF(L145&lt;&gt;"",1,0)</f>
        <v>0</v>
      </c>
      <c r="Q145" s="222"/>
      <c r="R145" s="222" t="s">
        <v>303</v>
      </c>
      <c r="S145" s="227">
        <f>IF(S141=5,1,0)</f>
        <v>0</v>
      </c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</row>
    <row r="146" spans="1:36" ht="30" customHeight="1" thickBot="1" x14ac:dyDescent="0.25">
      <c r="A146" s="112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113"/>
      <c r="Q146" s="222"/>
      <c r="R146" s="22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</row>
    <row r="147" spans="1:36" s="2" customFormat="1" ht="60.75" customHeight="1" x14ac:dyDescent="0.25">
      <c r="A147" s="112"/>
      <c r="B147" s="29"/>
      <c r="C147" s="968" t="s">
        <v>546</v>
      </c>
      <c r="D147" s="969"/>
      <c r="E147" s="969"/>
      <c r="F147" s="969"/>
      <c r="G147" s="969"/>
      <c r="H147" s="969"/>
      <c r="I147" s="969"/>
      <c r="J147" s="969"/>
      <c r="K147" s="969"/>
      <c r="L147" s="970"/>
      <c r="M147" s="144"/>
      <c r="N147" s="144"/>
      <c r="O147" s="113"/>
      <c r="P147" s="193" t="s">
        <v>274</v>
      </c>
      <c r="Q147" s="222"/>
      <c r="R147" s="296" t="s">
        <v>304</v>
      </c>
      <c r="S147" s="618">
        <f>IF(AND(OR(I149&lt;&gt;"",L149&lt;&gt;""),OR(I150&lt;&gt;"",L150&lt;&gt;""),OR(I151&lt;&gt;"",L151&lt;&gt;""),OR(I152&lt;&gt;"",L152&lt;&gt;""),OR(I153&lt;&gt;"",L153&lt;&gt;""),OR(I154&lt;&gt;"",L154&lt;&gt;""),OR(I155&lt;&gt;"",L155&lt;&gt;"")),1,0)</f>
        <v>0</v>
      </c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3"/>
      <c r="AI147" s="3"/>
      <c r="AJ147" s="4"/>
    </row>
    <row r="148" spans="1:36" ht="14.1" customHeight="1" x14ac:dyDescent="0.2">
      <c r="A148" s="112"/>
      <c r="B148" s="29"/>
      <c r="C148" s="576"/>
      <c r="D148" s="178"/>
      <c r="E148" s="178"/>
      <c r="F148" s="178"/>
      <c r="G148" s="178"/>
      <c r="H148" s="178"/>
      <c r="I148" s="178"/>
      <c r="J148" s="178"/>
      <c r="K148" s="178"/>
      <c r="L148" s="577"/>
      <c r="M148" s="29"/>
      <c r="N148" s="29"/>
      <c r="O148" s="113"/>
      <c r="Q148" s="222"/>
      <c r="R148" s="22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</row>
    <row r="149" spans="1:36" s="2" customFormat="1" ht="51" customHeight="1" x14ac:dyDescent="0.25">
      <c r="A149" s="112"/>
      <c r="B149" s="29"/>
      <c r="C149" s="932" t="s">
        <v>369</v>
      </c>
      <c r="D149" s="933"/>
      <c r="E149" s="933"/>
      <c r="F149" s="933"/>
      <c r="G149" s="934"/>
      <c r="H149" s="610" t="s">
        <v>273</v>
      </c>
      <c r="I149" s="170" t="str">
        <f>IF(AND(Q121=1,L149=""),"X","")</f>
        <v>X</v>
      </c>
      <c r="J149" s="120"/>
      <c r="K149" s="615" t="s">
        <v>274</v>
      </c>
      <c r="L149" s="614" t="str">
        <f>IF(P121="","",IF(P121&gt;=8,"X",""))</f>
        <v/>
      </c>
      <c r="M149" s="29"/>
      <c r="N149" s="29"/>
      <c r="O149" s="113"/>
      <c r="P149" s="191">
        <f>IF(L149&lt;&gt;"",1,0)</f>
        <v>0</v>
      </c>
      <c r="Q149" s="222"/>
      <c r="R149" s="225" t="s">
        <v>368</v>
      </c>
      <c r="S149" s="227">
        <f>SUM(P149:P155)</f>
        <v>0</v>
      </c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3"/>
      <c r="AI149" s="3"/>
      <c r="AJ149" s="4"/>
    </row>
    <row r="150" spans="1:36" ht="26.1" customHeight="1" x14ac:dyDescent="0.25">
      <c r="A150" s="112"/>
      <c r="B150" s="29"/>
      <c r="C150" s="935" t="s">
        <v>249</v>
      </c>
      <c r="D150" s="936"/>
      <c r="E150" s="936"/>
      <c r="F150" s="936"/>
      <c r="G150" s="936"/>
      <c r="H150" s="610" t="s">
        <v>273</v>
      </c>
      <c r="I150" s="28"/>
      <c r="J150" s="120"/>
      <c r="K150" s="615" t="s">
        <v>274</v>
      </c>
      <c r="L150" s="573"/>
      <c r="M150" s="29"/>
      <c r="N150" s="29"/>
      <c r="O150" s="113"/>
      <c r="P150" s="191">
        <f t="shared" ref="P150:P155" si="2">IF(L150&lt;&gt;"",1,0)</f>
        <v>0</v>
      </c>
      <c r="Q150" s="222"/>
      <c r="R150" s="22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</row>
    <row r="151" spans="1:36" ht="26.1" customHeight="1" x14ac:dyDescent="0.25">
      <c r="A151" s="112"/>
      <c r="B151" s="29"/>
      <c r="C151" s="935" t="s">
        <v>250</v>
      </c>
      <c r="D151" s="936"/>
      <c r="E151" s="936"/>
      <c r="F151" s="936"/>
      <c r="G151" s="936"/>
      <c r="H151" s="610" t="s">
        <v>273</v>
      </c>
      <c r="I151" s="28"/>
      <c r="J151" s="120"/>
      <c r="K151" s="615" t="s">
        <v>274</v>
      </c>
      <c r="L151" s="573"/>
      <c r="M151" s="29"/>
      <c r="N151" s="29"/>
      <c r="O151" s="113"/>
      <c r="P151" s="191">
        <f t="shared" si="2"/>
        <v>0</v>
      </c>
      <c r="Q151" s="222"/>
      <c r="R151" s="22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</row>
    <row r="152" spans="1:36" ht="26.1" customHeight="1" x14ac:dyDescent="0.25">
      <c r="A152" s="112"/>
      <c r="B152" s="29"/>
      <c r="C152" s="935" t="s">
        <v>350</v>
      </c>
      <c r="D152" s="936"/>
      <c r="E152" s="936"/>
      <c r="F152" s="936"/>
      <c r="G152" s="936"/>
      <c r="H152" s="610" t="s">
        <v>273</v>
      </c>
      <c r="I152" s="28"/>
      <c r="J152" s="120"/>
      <c r="K152" s="615" t="s">
        <v>274</v>
      </c>
      <c r="L152" s="573"/>
      <c r="M152" s="29"/>
      <c r="N152" s="29"/>
      <c r="O152" s="113"/>
      <c r="P152" s="191">
        <f t="shared" si="2"/>
        <v>0</v>
      </c>
      <c r="Q152" s="222"/>
      <c r="R152" s="22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</row>
    <row r="153" spans="1:36" ht="26.1" customHeight="1" x14ac:dyDescent="0.25">
      <c r="A153" s="112"/>
      <c r="B153" s="29"/>
      <c r="C153" s="935" t="s">
        <v>351</v>
      </c>
      <c r="D153" s="936"/>
      <c r="E153" s="936"/>
      <c r="F153" s="936"/>
      <c r="G153" s="936"/>
      <c r="H153" s="610" t="s">
        <v>273</v>
      </c>
      <c r="I153" s="28"/>
      <c r="J153" s="120"/>
      <c r="K153" s="615" t="s">
        <v>274</v>
      </c>
      <c r="L153" s="573"/>
      <c r="M153" s="29"/>
      <c r="N153" s="29"/>
      <c r="O153" s="113"/>
      <c r="P153" s="191">
        <f>IF(L153&lt;&gt;"",1,0)</f>
        <v>0</v>
      </c>
      <c r="Q153" s="222"/>
      <c r="R153" s="22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</row>
    <row r="154" spans="1:36" s="2" customFormat="1" ht="26.1" customHeight="1" x14ac:dyDescent="0.25">
      <c r="A154" s="112"/>
      <c r="B154" s="29"/>
      <c r="C154" s="932" t="s">
        <v>352</v>
      </c>
      <c r="D154" s="933"/>
      <c r="E154" s="933"/>
      <c r="F154" s="933"/>
      <c r="G154" s="933"/>
      <c r="H154" s="610" t="s">
        <v>273</v>
      </c>
      <c r="I154" s="28"/>
      <c r="J154" s="120"/>
      <c r="K154" s="615" t="s">
        <v>274</v>
      </c>
      <c r="L154" s="573"/>
      <c r="M154" s="29"/>
      <c r="N154" s="29"/>
      <c r="O154" s="113"/>
      <c r="P154" s="191">
        <f t="shared" si="2"/>
        <v>0</v>
      </c>
      <c r="Q154" s="222"/>
      <c r="R154" s="22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3"/>
      <c r="AI154" s="3"/>
      <c r="AJ154" s="4"/>
    </row>
    <row r="155" spans="1:36" ht="30" customHeight="1" thickBot="1" x14ac:dyDescent="0.3">
      <c r="A155" s="112"/>
      <c r="B155" s="29"/>
      <c r="C155" s="964" t="s">
        <v>353</v>
      </c>
      <c r="D155" s="965"/>
      <c r="E155" s="965"/>
      <c r="F155" s="965"/>
      <c r="G155" s="965"/>
      <c r="H155" s="611" t="s">
        <v>273</v>
      </c>
      <c r="I155" s="571"/>
      <c r="J155" s="590"/>
      <c r="K155" s="616" t="s">
        <v>274</v>
      </c>
      <c r="L155" s="575"/>
      <c r="M155" s="29"/>
      <c r="N155" s="134"/>
      <c r="O155" s="113"/>
      <c r="P155" s="191">
        <f t="shared" si="2"/>
        <v>0</v>
      </c>
      <c r="Q155" s="222"/>
      <c r="R155" s="228" t="s">
        <v>338</v>
      </c>
      <c r="S155" s="227">
        <f>IF(S149&gt;0,1,0)</f>
        <v>0</v>
      </c>
      <c r="T155" s="229" t="s">
        <v>370</v>
      </c>
      <c r="U155" s="232">
        <f>IF(P121="","",(P121*(1-0.1))/(8-2))</f>
        <v>0.45</v>
      </c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</row>
    <row r="156" spans="1:36" ht="18" customHeight="1" x14ac:dyDescent="0.2">
      <c r="A156" s="112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113"/>
      <c r="Q156" s="222"/>
      <c r="R156" s="22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</row>
    <row r="157" spans="1:36" ht="31.5" customHeight="1" thickBot="1" x14ac:dyDescent="0.3">
      <c r="A157" s="112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113"/>
      <c r="Q157" s="222"/>
      <c r="R157" s="222"/>
      <c r="S157" s="132"/>
      <c r="T157" s="234" t="s">
        <v>371</v>
      </c>
      <c r="U157" s="235">
        <f>IF(S145=1,0.1+U137,IF(S155=1,1,IF(U155="",0,U155+U137)))</f>
        <v>0.45</v>
      </c>
      <c r="V157" s="132"/>
      <c r="W157" s="302" t="s">
        <v>439</v>
      </c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</row>
    <row r="158" spans="1:36" ht="84.75" customHeight="1" thickBot="1" x14ac:dyDescent="0.65">
      <c r="A158" s="112"/>
      <c r="B158" s="156" t="s">
        <v>341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13"/>
      <c r="Q158" s="222"/>
      <c r="R158" s="222"/>
      <c r="S158" s="132"/>
      <c r="T158" s="236" t="s">
        <v>373</v>
      </c>
      <c r="U158" s="231" t="str">
        <f>IF(P116=0,"",IF(W158=0,"",IF(U157&gt;1,1,U157)))</f>
        <v/>
      </c>
      <c r="V158" s="132"/>
      <c r="W158" s="303">
        <f>Q121*S139*S147</f>
        <v>0</v>
      </c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</row>
    <row r="159" spans="1:36" ht="12" customHeight="1" x14ac:dyDescent="0.2">
      <c r="A159" s="112"/>
      <c r="B159" s="959" t="s">
        <v>16</v>
      </c>
      <c r="C159" s="925" t="s">
        <v>110</v>
      </c>
      <c r="D159" s="925"/>
      <c r="E159" s="925"/>
      <c r="F159" s="925"/>
      <c r="G159" s="925"/>
      <c r="H159" s="925"/>
      <c r="I159" s="925"/>
      <c r="J159" s="925"/>
      <c r="K159" s="925"/>
      <c r="L159" s="925"/>
      <c r="M159" s="29"/>
      <c r="N159" s="29"/>
      <c r="O159" s="113"/>
      <c r="Q159" s="132"/>
      <c r="R159" s="132"/>
      <c r="S159" s="132"/>
      <c r="T159" s="132" t="s">
        <v>585</v>
      </c>
      <c r="U159" s="132">
        <f>S136</f>
        <v>0</v>
      </c>
      <c r="V159" s="132">
        <f>MAX(U158:U159)</f>
        <v>0</v>
      </c>
      <c r="W159" s="132" t="s">
        <v>586</v>
      </c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</row>
    <row r="160" spans="1:36" ht="12" customHeight="1" x14ac:dyDescent="0.2">
      <c r="A160" s="112"/>
      <c r="B160" s="959"/>
      <c r="C160" s="925"/>
      <c r="D160" s="925"/>
      <c r="E160" s="925"/>
      <c r="F160" s="925"/>
      <c r="G160" s="925"/>
      <c r="H160" s="925"/>
      <c r="I160" s="925"/>
      <c r="J160" s="925"/>
      <c r="K160" s="925"/>
      <c r="L160" s="925"/>
      <c r="M160" s="29"/>
      <c r="N160" s="29"/>
      <c r="O160" s="113"/>
      <c r="Q160" s="132"/>
      <c r="R160" s="132"/>
      <c r="S160" s="132"/>
      <c r="T160" s="30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</row>
    <row r="161" spans="1:33" ht="12" customHeight="1" x14ac:dyDescent="0.2">
      <c r="A161" s="112"/>
      <c r="B161" s="959"/>
      <c r="C161" s="925"/>
      <c r="D161" s="925"/>
      <c r="E161" s="925"/>
      <c r="F161" s="925"/>
      <c r="G161" s="925"/>
      <c r="H161" s="925"/>
      <c r="I161" s="925"/>
      <c r="J161" s="925"/>
      <c r="K161" s="925"/>
      <c r="L161" s="925"/>
      <c r="M161" s="29"/>
      <c r="N161" s="29"/>
      <c r="O161" s="113"/>
      <c r="Q161" s="132"/>
      <c r="R161" s="302" t="s">
        <v>548</v>
      </c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</row>
    <row r="162" spans="1:33" ht="31.5" customHeight="1" x14ac:dyDescent="0.2">
      <c r="A162" s="112"/>
      <c r="B162" s="29"/>
      <c r="C162" s="930" t="s">
        <v>63</v>
      </c>
      <c r="D162" s="926" t="str">
        <f>LOOKUP(S162,$T$175:$T$179,$V$175:$V$179)</f>
        <v>Working condition is not present.</v>
      </c>
      <c r="E162" s="926"/>
      <c r="F162" s="926"/>
      <c r="G162" s="926"/>
      <c r="H162" s="926"/>
      <c r="I162" s="926"/>
      <c r="J162" s="927"/>
      <c r="K162" s="29"/>
      <c r="L162" s="29"/>
      <c r="M162" s="29"/>
      <c r="N162" s="29"/>
      <c r="O162" s="113"/>
      <c r="Q162" s="304" t="s">
        <v>437</v>
      </c>
      <c r="R162" s="303">
        <f>IF(P15=0,1,IF(Q55=0,2,IF(T72=1,3,IF(Q53=1,4,5))))</f>
        <v>1</v>
      </c>
      <c r="S162" s="594">
        <f>IF(AND(T72=1,Q53=1),4,R162)</f>
        <v>1</v>
      </c>
      <c r="T162" s="302" t="s">
        <v>544</v>
      </c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</row>
    <row r="163" spans="1:33" ht="31.5" customHeight="1" x14ac:dyDescent="0.2">
      <c r="A163" s="112"/>
      <c r="B163" s="29"/>
      <c r="C163" s="931"/>
      <c r="D163" s="928" t="str">
        <f>IF(R163="","",LOOKUP(R163,$AC$175:$AC$178,$AE$175:$AE$178))</f>
        <v/>
      </c>
      <c r="E163" s="928"/>
      <c r="F163" s="928"/>
      <c r="G163" s="928"/>
      <c r="H163" s="928"/>
      <c r="I163" s="928"/>
      <c r="J163" s="929"/>
      <c r="K163" s="29"/>
      <c r="L163" s="29"/>
      <c r="M163" s="29"/>
      <c r="N163" s="29"/>
      <c r="O163" s="113"/>
      <c r="Q163" s="304" t="s">
        <v>438</v>
      </c>
      <c r="R163" s="303" t="str">
        <f>IF(U87="","",VLOOKUP(U87,$AB$175:$AC$178,2,TRUE))</f>
        <v/>
      </c>
      <c r="S163" s="305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</row>
    <row r="164" spans="1:33" ht="18" customHeight="1" x14ac:dyDescent="0.2">
      <c r="A164" s="112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113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</row>
    <row r="165" spans="1:33" ht="12" customHeight="1" x14ac:dyDescent="0.2">
      <c r="A165" s="112"/>
      <c r="B165" s="959" t="s">
        <v>17</v>
      </c>
      <c r="C165" s="925" t="s">
        <v>251</v>
      </c>
      <c r="D165" s="925"/>
      <c r="E165" s="925"/>
      <c r="F165" s="925"/>
      <c r="G165" s="925"/>
      <c r="H165" s="925"/>
      <c r="I165" s="925"/>
      <c r="J165" s="925"/>
      <c r="K165" s="925"/>
      <c r="L165" s="925"/>
      <c r="M165" s="29"/>
      <c r="N165" s="29"/>
      <c r="O165" s="113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</row>
    <row r="166" spans="1:33" ht="12" customHeight="1" x14ac:dyDescent="0.2">
      <c r="A166" s="112"/>
      <c r="B166" s="959"/>
      <c r="C166" s="925"/>
      <c r="D166" s="925"/>
      <c r="E166" s="925"/>
      <c r="F166" s="925"/>
      <c r="G166" s="925"/>
      <c r="H166" s="925"/>
      <c r="I166" s="925"/>
      <c r="J166" s="925"/>
      <c r="K166" s="925"/>
      <c r="L166" s="925"/>
      <c r="M166" s="29"/>
      <c r="N166" s="29"/>
      <c r="O166" s="113"/>
      <c r="Q166" s="132"/>
      <c r="R166" s="132"/>
      <c r="S166" s="132"/>
      <c r="T166" s="302" t="s">
        <v>5</v>
      </c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</row>
    <row r="167" spans="1:33" ht="12" customHeight="1" x14ac:dyDescent="0.2">
      <c r="A167" s="112"/>
      <c r="B167" s="959"/>
      <c r="C167" s="925"/>
      <c r="D167" s="925"/>
      <c r="E167" s="925"/>
      <c r="F167" s="925"/>
      <c r="G167" s="925"/>
      <c r="H167" s="925"/>
      <c r="I167" s="925"/>
      <c r="J167" s="925"/>
      <c r="K167" s="925"/>
      <c r="L167" s="925"/>
      <c r="M167" s="29"/>
      <c r="N167" s="29"/>
      <c r="O167" s="113"/>
      <c r="Q167" s="132"/>
      <c r="R167" s="302" t="s">
        <v>549</v>
      </c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</row>
    <row r="168" spans="1:33" ht="31.5" customHeight="1" x14ac:dyDescent="0.2">
      <c r="A168" s="112"/>
      <c r="B168" s="29"/>
      <c r="C168" s="930" t="s">
        <v>64</v>
      </c>
      <c r="D168" s="926" t="str">
        <f>LOOKUP(R168,$T$175:$T$179,$V$175:$V$179)</f>
        <v>It is necessary to conduct a risk assessment.</v>
      </c>
      <c r="E168" s="926"/>
      <c r="F168" s="926"/>
      <c r="G168" s="926"/>
      <c r="H168" s="926"/>
      <c r="I168" s="926"/>
      <c r="J168" s="927"/>
      <c r="K168" s="29"/>
      <c r="L168" s="29"/>
      <c r="M168" s="29"/>
      <c r="N168" s="29"/>
      <c r="O168" s="113"/>
      <c r="Q168" s="304" t="s">
        <v>437</v>
      </c>
      <c r="R168" s="303">
        <f>IF(P93=0,1,IF(P97=0,2,IF(T106,3,IF(T103,4,5))))</f>
        <v>5</v>
      </c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</row>
    <row r="169" spans="1:33" ht="31.5" customHeight="1" x14ac:dyDescent="0.2">
      <c r="A169" s="112"/>
      <c r="B169" s="29"/>
      <c r="C169" s="931"/>
      <c r="D169" s="928" t="e">
        <f>IF(R169="","",LOOKUP(R169,$AC$175:$AC$178,$AE$175:$AE$178))</f>
        <v>#DIV/0!</v>
      </c>
      <c r="E169" s="928"/>
      <c r="F169" s="928"/>
      <c r="G169" s="928"/>
      <c r="H169" s="928"/>
      <c r="I169" s="928"/>
      <c r="J169" s="929"/>
      <c r="K169" s="29"/>
      <c r="L169" s="29"/>
      <c r="M169" s="29"/>
      <c r="N169" s="29"/>
      <c r="O169" s="113"/>
      <c r="Q169" s="304" t="s">
        <v>438</v>
      </c>
      <c r="R169" s="303" t="e">
        <f>IF(Y107="","",VLOOKUP(Y107,$AB$175:$AC$178,2,TRUE))</f>
        <v>#DIV/0!</v>
      </c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</row>
    <row r="170" spans="1:33" ht="22.5" customHeight="1" x14ac:dyDescent="0.2">
      <c r="A170" s="112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113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</row>
    <row r="171" spans="1:33" ht="22.5" customHeight="1" x14ac:dyDescent="0.2">
      <c r="A171" s="112"/>
      <c r="B171" s="29"/>
      <c r="C171" s="735" t="s">
        <v>581</v>
      </c>
      <c r="D171" s="132"/>
      <c r="E171" s="132"/>
      <c r="F171" s="132"/>
      <c r="G171" s="132"/>
      <c r="H171" s="132"/>
      <c r="I171" s="132"/>
      <c r="J171" s="132"/>
      <c r="K171" s="132"/>
      <c r="L171" s="132"/>
      <c r="M171" s="29"/>
      <c r="N171" s="29"/>
      <c r="O171" s="113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</row>
    <row r="172" spans="1:33" ht="31.5" customHeight="1" x14ac:dyDescent="0.2">
      <c r="A172" s="112"/>
      <c r="B172" s="29"/>
      <c r="C172" s="132"/>
      <c r="D172" s="132"/>
      <c r="E172" s="916" t="str">
        <f>LOOKUP(R181,AB181:AC184)</f>
        <v>No actions are needed</v>
      </c>
      <c r="F172" s="917"/>
      <c r="G172" s="917"/>
      <c r="H172" s="917"/>
      <c r="I172" s="917"/>
      <c r="J172" s="917"/>
      <c r="K172" s="918"/>
      <c r="L172" s="696"/>
      <c r="M172" s="29"/>
      <c r="N172" s="29"/>
      <c r="O172" s="113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</row>
    <row r="173" spans="1:33" ht="22.5" customHeight="1" x14ac:dyDescent="0.2">
      <c r="A173" s="112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113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</row>
    <row r="174" spans="1:33" ht="12" customHeight="1" x14ac:dyDescent="0.2">
      <c r="A174" s="112"/>
      <c r="B174" s="959" t="s">
        <v>18</v>
      </c>
      <c r="C174" s="925" t="s">
        <v>65</v>
      </c>
      <c r="D174" s="925"/>
      <c r="E174" s="925"/>
      <c r="F174" s="925"/>
      <c r="G174" s="925"/>
      <c r="H174" s="925"/>
      <c r="I174" s="925"/>
      <c r="J174" s="925"/>
      <c r="K174" s="925"/>
      <c r="L174" s="925"/>
      <c r="M174" s="29"/>
      <c r="N174" s="29"/>
      <c r="O174" s="113"/>
      <c r="Q174" s="132"/>
      <c r="R174" s="132"/>
      <c r="S174" s="132"/>
      <c r="T174" s="301" t="s">
        <v>435</v>
      </c>
      <c r="U174" s="300" t="s">
        <v>434</v>
      </c>
      <c r="V174" s="294" t="s">
        <v>436</v>
      </c>
      <c r="Z174" s="149"/>
      <c r="AB174" s="300" t="s">
        <v>330</v>
      </c>
      <c r="AC174" s="294" t="s">
        <v>435</v>
      </c>
      <c r="AE174" s="294" t="s">
        <v>436</v>
      </c>
      <c r="AG174" s="132"/>
    </row>
    <row r="175" spans="1:33" ht="12" customHeight="1" x14ac:dyDescent="0.2">
      <c r="A175" s="112"/>
      <c r="B175" s="959"/>
      <c r="C175" s="925"/>
      <c r="D175" s="925"/>
      <c r="E175" s="925"/>
      <c r="F175" s="925"/>
      <c r="G175" s="925"/>
      <c r="H175" s="925"/>
      <c r="I175" s="925"/>
      <c r="J175" s="925"/>
      <c r="K175" s="925"/>
      <c r="L175" s="925"/>
      <c r="M175" s="29"/>
      <c r="N175" s="29"/>
      <c r="O175" s="113"/>
      <c r="Q175" s="132"/>
      <c r="R175" s="132"/>
      <c r="S175" s="132"/>
      <c r="T175" s="149">
        <v>1</v>
      </c>
      <c r="U175" s="299" t="s">
        <v>424</v>
      </c>
      <c r="V175" s="298" t="s">
        <v>440</v>
      </c>
      <c r="W175" s="307"/>
      <c r="X175" s="307"/>
      <c r="Y175" s="307"/>
      <c r="Z175" s="306"/>
      <c r="AA175" s="307"/>
      <c r="AB175" s="308">
        <v>0</v>
      </c>
      <c r="AC175" s="307">
        <v>1</v>
      </c>
      <c r="AD175" s="298" t="s">
        <v>426</v>
      </c>
      <c r="AE175" s="298" t="s">
        <v>444</v>
      </c>
      <c r="AG175" s="132"/>
    </row>
    <row r="176" spans="1:33" ht="12" customHeight="1" x14ac:dyDescent="0.2">
      <c r="A176" s="112"/>
      <c r="B176" s="959"/>
      <c r="C176" s="925"/>
      <c r="D176" s="925"/>
      <c r="E176" s="925"/>
      <c r="F176" s="925"/>
      <c r="G176" s="925"/>
      <c r="H176" s="925"/>
      <c r="I176" s="925"/>
      <c r="J176" s="925"/>
      <c r="K176" s="925"/>
      <c r="L176" s="925"/>
      <c r="M176" s="29"/>
      <c r="N176" s="29"/>
      <c r="O176" s="113"/>
      <c r="Q176" s="132"/>
      <c r="R176" s="302" t="s">
        <v>550</v>
      </c>
      <c r="S176" s="132"/>
      <c r="T176" s="149">
        <v>2</v>
      </c>
      <c r="U176" s="299" t="s">
        <v>425</v>
      </c>
      <c r="V176" s="298" t="s">
        <v>441</v>
      </c>
      <c r="W176" s="307"/>
      <c r="X176" s="307"/>
      <c r="Y176" s="307"/>
      <c r="Z176" s="306"/>
      <c r="AA176" s="307"/>
      <c r="AB176" s="308">
        <v>0.31</v>
      </c>
      <c r="AC176" s="307">
        <v>2</v>
      </c>
      <c r="AD176" s="298" t="s">
        <v>431</v>
      </c>
      <c r="AE176" s="298" t="s">
        <v>445</v>
      </c>
      <c r="AG176" s="132"/>
    </row>
    <row r="177" spans="1:40" ht="31.5" customHeight="1" x14ac:dyDescent="0.2">
      <c r="A177" s="112"/>
      <c r="B177" s="29"/>
      <c r="C177" s="930" t="s">
        <v>64</v>
      </c>
      <c r="D177" s="926" t="str">
        <f>LOOKUP(R177,$T$175:$T$179,$V$175:$V$179)</f>
        <v>Working condition is not present.</v>
      </c>
      <c r="E177" s="926"/>
      <c r="F177" s="926"/>
      <c r="G177" s="926"/>
      <c r="H177" s="926"/>
      <c r="I177" s="926"/>
      <c r="J177" s="927"/>
      <c r="K177" s="29"/>
      <c r="L177" s="29"/>
      <c r="M177" s="29"/>
      <c r="N177" s="29"/>
      <c r="O177" s="113"/>
      <c r="Q177" s="304" t="s">
        <v>437</v>
      </c>
      <c r="R177" s="303">
        <f>IF(P116=0,1,IF(W158=0,2,IF(S145=1,3,IF(S155=1,4,5))))</f>
        <v>1</v>
      </c>
      <c r="S177" s="132"/>
      <c r="T177" s="149">
        <v>3</v>
      </c>
      <c r="U177" s="299" t="s">
        <v>427</v>
      </c>
      <c r="V177" s="298" t="s">
        <v>428</v>
      </c>
      <c r="W177" s="307"/>
      <c r="X177" s="307"/>
      <c r="Y177" s="307"/>
      <c r="Z177" s="306"/>
      <c r="AA177" s="307"/>
      <c r="AB177" s="308">
        <v>0.5</v>
      </c>
      <c r="AC177" s="307">
        <v>3</v>
      </c>
      <c r="AD177" s="298" t="s">
        <v>432</v>
      </c>
      <c r="AE177" s="298" t="s">
        <v>446</v>
      </c>
      <c r="AG177" s="132"/>
    </row>
    <row r="178" spans="1:40" ht="31.5" customHeight="1" x14ac:dyDescent="0.2">
      <c r="A178" s="112"/>
      <c r="B178" s="29"/>
      <c r="C178" s="931"/>
      <c r="D178" s="928" t="str">
        <f>IF(R178="","",LOOKUP(R178,$AC$175:$AC$178,$AE$175:$AE$178))</f>
        <v/>
      </c>
      <c r="E178" s="928"/>
      <c r="F178" s="928"/>
      <c r="G178" s="928"/>
      <c r="H178" s="928"/>
      <c r="I178" s="928"/>
      <c r="J178" s="929"/>
      <c r="K178" s="29"/>
      <c r="L178" s="29"/>
      <c r="M178" s="29"/>
      <c r="N178" s="29"/>
      <c r="O178" s="113"/>
      <c r="Q178" s="304" t="s">
        <v>438</v>
      </c>
      <c r="R178" s="303" t="str">
        <f>IF(U158="","",VLOOKUP(U158,$AB$175:$AC$178,2,TRUE))</f>
        <v/>
      </c>
      <c r="S178" s="132"/>
      <c r="T178" s="149">
        <v>4</v>
      </c>
      <c r="U178" s="299" t="s">
        <v>429</v>
      </c>
      <c r="V178" s="298" t="s">
        <v>443</v>
      </c>
      <c r="W178" s="307"/>
      <c r="X178" s="307"/>
      <c r="Y178" s="307"/>
      <c r="Z178" s="306"/>
      <c r="AA178" s="307"/>
      <c r="AB178" s="308">
        <v>0.8</v>
      </c>
      <c r="AC178" s="307">
        <v>4</v>
      </c>
      <c r="AD178" s="298" t="s">
        <v>433</v>
      </c>
      <c r="AE178" s="298" t="s">
        <v>447</v>
      </c>
      <c r="AG178" s="132"/>
    </row>
    <row r="179" spans="1:40" ht="15.75" customHeight="1" x14ac:dyDescent="0.2">
      <c r="A179" s="112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113"/>
      <c r="Q179" s="132"/>
      <c r="R179" s="132"/>
      <c r="S179" s="132"/>
      <c r="T179" s="149">
        <v>5</v>
      </c>
      <c r="U179" s="299" t="s">
        <v>430</v>
      </c>
      <c r="V179" s="298" t="s">
        <v>442</v>
      </c>
      <c r="W179" s="307"/>
      <c r="X179" s="307"/>
      <c r="Y179" s="307"/>
      <c r="Z179" s="306"/>
      <c r="AA179" s="307"/>
      <c r="AB179" s="307"/>
      <c r="AC179" s="307"/>
      <c r="AD179" s="307"/>
      <c r="AE179" s="307"/>
      <c r="AG179" s="132"/>
    </row>
    <row r="180" spans="1:40" ht="38.25" customHeight="1" x14ac:dyDescent="0.3">
      <c r="A180" s="112"/>
      <c r="B180" s="29"/>
      <c r="C180" s="735" t="s">
        <v>588</v>
      </c>
      <c r="D180" s="734"/>
      <c r="E180" s="734"/>
      <c r="F180" s="734"/>
      <c r="G180" s="734"/>
      <c r="H180" s="734"/>
      <c r="I180" s="734"/>
      <c r="J180" s="734"/>
      <c r="K180" s="734"/>
      <c r="L180" s="734"/>
      <c r="M180" s="29"/>
      <c r="N180" s="29"/>
      <c r="O180" s="113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M180" s="150"/>
      <c r="AN180" s="150"/>
    </row>
    <row r="181" spans="1:40" ht="28.5" customHeight="1" x14ac:dyDescent="0.35">
      <c r="A181" s="112"/>
      <c r="B181" s="29"/>
      <c r="C181" s="132"/>
      <c r="D181" s="132"/>
      <c r="E181" s="916" t="str">
        <f>LOOKUP(R184,AB181:AC184)</f>
        <v>No actions are needed</v>
      </c>
      <c r="F181" s="917"/>
      <c r="G181" s="917"/>
      <c r="H181" s="917"/>
      <c r="I181" s="917"/>
      <c r="J181" s="917"/>
      <c r="K181" s="918"/>
      <c r="L181" s="696"/>
      <c r="M181" s="29"/>
      <c r="N181" s="29"/>
      <c r="O181" s="113"/>
      <c r="Q181" s="132"/>
      <c r="R181" s="691">
        <f>T34</f>
        <v>0</v>
      </c>
      <c r="S181" s="132"/>
      <c r="T181" s="132"/>
      <c r="U181" s="149"/>
      <c r="V181" s="149"/>
      <c r="W181" s="149"/>
      <c r="X181" s="149"/>
      <c r="Y181" s="149"/>
      <c r="Z181" s="149"/>
      <c r="AA181" s="149">
        <v>1</v>
      </c>
      <c r="AB181" s="692">
        <v>0</v>
      </c>
      <c r="AC181" s="693" t="s">
        <v>613</v>
      </c>
      <c r="AD181" s="149"/>
      <c r="AE181" s="149"/>
      <c r="AF181" s="132"/>
      <c r="AG181" s="132"/>
      <c r="AM181" s="150"/>
      <c r="AN181" s="150"/>
    </row>
    <row r="182" spans="1:40" ht="18.75" customHeight="1" thickBot="1" x14ac:dyDescent="0.35">
      <c r="A182" s="121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3"/>
      <c r="Q182" s="132"/>
      <c r="R182" s="302" t="s">
        <v>582</v>
      </c>
      <c r="S182" s="132"/>
      <c r="T182" s="132"/>
      <c r="U182" s="149"/>
      <c r="V182" s="149"/>
      <c r="W182" s="149"/>
      <c r="X182" s="149"/>
      <c r="Y182" s="149"/>
      <c r="Z182" s="149"/>
      <c r="AA182" s="149">
        <v>2</v>
      </c>
      <c r="AB182" s="692">
        <v>0.1</v>
      </c>
      <c r="AC182" s="693" t="s">
        <v>610</v>
      </c>
      <c r="AD182" s="149"/>
      <c r="AE182" s="149"/>
      <c r="AF182" s="132"/>
      <c r="AG182" s="132"/>
    </row>
    <row r="183" spans="1:40" ht="20.25" hidden="1" x14ac:dyDescent="0.3">
      <c r="Q183" s="132"/>
      <c r="R183" s="132"/>
      <c r="S183" s="132"/>
      <c r="T183" s="132"/>
      <c r="U183" s="149"/>
      <c r="V183" s="149"/>
      <c r="W183" s="149"/>
      <c r="X183" s="149"/>
      <c r="Y183" s="149"/>
      <c r="Z183" s="149"/>
      <c r="AA183" s="149">
        <v>3</v>
      </c>
      <c r="AB183" s="694">
        <v>0.3</v>
      </c>
      <c r="AC183" s="693" t="s">
        <v>611</v>
      </c>
      <c r="AD183" s="149"/>
      <c r="AE183" s="149"/>
      <c r="AF183" s="132"/>
      <c r="AG183" s="132"/>
    </row>
    <row r="184" spans="1:40" ht="39.75" hidden="1" customHeight="1" x14ac:dyDescent="0.35">
      <c r="A184" s="690"/>
      <c r="Q184" s="132"/>
      <c r="R184" s="691">
        <f>$S$136</f>
        <v>0</v>
      </c>
      <c r="S184" s="132"/>
      <c r="T184" s="132"/>
      <c r="U184" s="149"/>
      <c r="V184" s="149"/>
      <c r="W184" s="149"/>
      <c r="X184" s="149"/>
      <c r="Y184" s="149"/>
      <c r="Z184" s="149"/>
      <c r="AA184" s="149"/>
      <c r="AB184" s="692">
        <v>0.6</v>
      </c>
      <c r="AC184" s="693" t="s">
        <v>612</v>
      </c>
      <c r="AD184" s="149"/>
      <c r="AE184" s="149"/>
      <c r="AF184" s="132"/>
      <c r="AG184" s="132"/>
    </row>
    <row r="185" spans="1:40" ht="27.75" hidden="1" customHeight="1" x14ac:dyDescent="0.3">
      <c r="A185" s="690"/>
      <c r="L185" s="690"/>
      <c r="M185" s="690"/>
      <c r="N185" s="664"/>
      <c r="Q185" s="132"/>
      <c r="R185" s="302" t="s">
        <v>583</v>
      </c>
      <c r="S185" s="132"/>
      <c r="T185" s="132"/>
      <c r="U185" s="149"/>
      <c r="V185" s="149"/>
      <c r="W185" s="149"/>
      <c r="X185" s="149"/>
      <c r="Y185" s="149"/>
      <c r="Z185" s="149"/>
      <c r="AA185" s="149"/>
      <c r="AB185" s="695"/>
      <c r="AC185" s="693"/>
      <c r="AD185" s="149"/>
      <c r="AE185" s="149"/>
      <c r="AF185" s="132"/>
      <c r="AG185" s="132"/>
    </row>
    <row r="186" spans="1:40" ht="12.75" hidden="1" customHeight="1" x14ac:dyDescent="0.2">
      <c r="A186" s="690"/>
      <c r="L186" s="690"/>
      <c r="M186" s="690"/>
      <c r="N186" s="664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</row>
    <row r="187" spans="1:40" ht="36.75" hidden="1" customHeight="1" x14ac:dyDescent="0.2">
      <c r="A187" s="690"/>
      <c r="B187" s="690"/>
      <c r="C187" s="690"/>
      <c r="D187" s="690"/>
      <c r="E187" s="690"/>
      <c r="F187" s="690"/>
      <c r="G187" s="690"/>
      <c r="H187" s="690"/>
      <c r="I187" s="690"/>
      <c r="J187" s="690"/>
      <c r="K187" s="690"/>
      <c r="L187" s="690"/>
      <c r="M187" s="690"/>
      <c r="N187" s="690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</row>
    <row r="188" spans="1:40" ht="32.25" hidden="1" customHeight="1" x14ac:dyDescent="0.2">
      <c r="A188" s="12"/>
      <c r="L188" s="690"/>
      <c r="M188" s="690"/>
      <c r="N188" s="690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</row>
    <row r="189" spans="1:40" hidden="1" x14ac:dyDescent="0.2">
      <c r="A189" s="12"/>
      <c r="L189" s="690"/>
      <c r="M189" s="690"/>
      <c r="N189" s="690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</row>
    <row r="190" spans="1:40" hidden="1" x14ac:dyDescent="0.2">
      <c r="B190" s="690"/>
      <c r="C190" s="690"/>
      <c r="D190" s="690"/>
      <c r="E190" s="690"/>
      <c r="F190" s="690"/>
      <c r="G190" s="690"/>
      <c r="H190" s="690"/>
      <c r="I190" s="690"/>
      <c r="J190" s="690"/>
      <c r="K190" s="690"/>
      <c r="L190" s="690"/>
      <c r="M190" s="690"/>
      <c r="N190" s="690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</row>
    <row r="191" spans="1:40" hidden="1" x14ac:dyDescent="0.2"/>
  </sheetData>
  <sheetProtection password="BD29" sheet="1" objects="1" scenarios="1"/>
  <mergeCells count="147">
    <mergeCell ref="Y94:AA94"/>
    <mergeCell ref="U117:W117"/>
    <mergeCell ref="U118:W118"/>
    <mergeCell ref="U119:W119"/>
    <mergeCell ref="U120:W120"/>
    <mergeCell ref="U121:W121"/>
    <mergeCell ref="U122:W122"/>
    <mergeCell ref="U123:W123"/>
    <mergeCell ref="C93:L94"/>
    <mergeCell ref="C110:G110"/>
    <mergeCell ref="C97:L97"/>
    <mergeCell ref="C112:N114"/>
    <mergeCell ref="N116:N117"/>
    <mergeCell ref="H121:L121"/>
    <mergeCell ref="Q74:R74"/>
    <mergeCell ref="Q63:R63"/>
    <mergeCell ref="Q56:R56"/>
    <mergeCell ref="C84:C87"/>
    <mergeCell ref="D84:G84"/>
    <mergeCell ref="D85:G85"/>
    <mergeCell ref="D86:G86"/>
    <mergeCell ref="D87:G87"/>
    <mergeCell ref="C77:C80"/>
    <mergeCell ref="D77:G77"/>
    <mergeCell ref="D78:G78"/>
    <mergeCell ref="D79:G79"/>
    <mergeCell ref="D80:G80"/>
    <mergeCell ref="C71:G71"/>
    <mergeCell ref="C73:L73"/>
    <mergeCell ref="Q81:R81"/>
    <mergeCell ref="D4:F4"/>
    <mergeCell ref="J4:N4"/>
    <mergeCell ref="C11:N13"/>
    <mergeCell ref="D6:F6"/>
    <mergeCell ref="B9:N9"/>
    <mergeCell ref="B11:B13"/>
    <mergeCell ref="D45:G45"/>
    <mergeCell ref="D40:G40"/>
    <mergeCell ref="C36:L36"/>
    <mergeCell ref="C27:L27"/>
    <mergeCell ref="D44:G44"/>
    <mergeCell ref="C15:L16"/>
    <mergeCell ref="C19:L19"/>
    <mergeCell ref="C44:C46"/>
    <mergeCell ref="D46:G46"/>
    <mergeCell ref="N15:N16"/>
    <mergeCell ref="C17:L17"/>
    <mergeCell ref="D51:G51"/>
    <mergeCell ref="D53:G53"/>
    <mergeCell ref="C147:L147"/>
    <mergeCell ref="D59:G59"/>
    <mergeCell ref="C57:G57"/>
    <mergeCell ref="D60:G60"/>
    <mergeCell ref="D61:G61"/>
    <mergeCell ref="D62:G62"/>
    <mergeCell ref="D52:G52"/>
    <mergeCell ref="C59:C62"/>
    <mergeCell ref="C66:C69"/>
    <mergeCell ref="D66:G66"/>
    <mergeCell ref="D67:G67"/>
    <mergeCell ref="D68:G68"/>
    <mergeCell ref="D69:G69"/>
    <mergeCell ref="C64:G64"/>
    <mergeCell ref="C95:L95"/>
    <mergeCell ref="C123:L123"/>
    <mergeCell ref="C121:G121"/>
    <mergeCell ref="H56:L56"/>
    <mergeCell ref="C82:G82"/>
    <mergeCell ref="C55:L55"/>
    <mergeCell ref="B174:B176"/>
    <mergeCell ref="C131:L131"/>
    <mergeCell ref="C133:G133"/>
    <mergeCell ref="C136:G136"/>
    <mergeCell ref="C137:G137"/>
    <mergeCell ref="C141:G141"/>
    <mergeCell ref="C142:G142"/>
    <mergeCell ref="C143:G143"/>
    <mergeCell ref="C144:G144"/>
    <mergeCell ref="C145:G145"/>
    <mergeCell ref="B159:B161"/>
    <mergeCell ref="C149:G149"/>
    <mergeCell ref="C150:G150"/>
    <mergeCell ref="C151:G151"/>
    <mergeCell ref="C152:G152"/>
    <mergeCell ref="C153:G153"/>
    <mergeCell ref="C154:G154"/>
    <mergeCell ref="C155:G155"/>
    <mergeCell ref="C159:L161"/>
    <mergeCell ref="B2:N2"/>
    <mergeCell ref="B4:C4"/>
    <mergeCell ref="B6:C6"/>
    <mergeCell ref="C168:C169"/>
    <mergeCell ref="C38:L38"/>
    <mergeCell ref="D41:G41"/>
    <mergeCell ref="C23:G23"/>
    <mergeCell ref="C24:G24"/>
    <mergeCell ref="C25:G25"/>
    <mergeCell ref="C29:G29"/>
    <mergeCell ref="C30:G30"/>
    <mergeCell ref="C31:G31"/>
    <mergeCell ref="C32:G32"/>
    <mergeCell ref="C34:G34"/>
    <mergeCell ref="B89:B91"/>
    <mergeCell ref="C104:D104"/>
    <mergeCell ref="H4:I4"/>
    <mergeCell ref="H6:I7"/>
    <mergeCell ref="C21:L21"/>
    <mergeCell ref="D42:G42"/>
    <mergeCell ref="D43:G43"/>
    <mergeCell ref="B165:B167"/>
    <mergeCell ref="C48:L48"/>
    <mergeCell ref="D50:G50"/>
    <mergeCell ref="B112:B114"/>
    <mergeCell ref="C118:L118"/>
    <mergeCell ref="C139:L139"/>
    <mergeCell ref="C75:G75"/>
    <mergeCell ref="C89:N91"/>
    <mergeCell ref="H99:I99"/>
    <mergeCell ref="J99:L99"/>
    <mergeCell ref="N93:N94"/>
    <mergeCell ref="C106:D106"/>
    <mergeCell ref="C108:D108"/>
    <mergeCell ref="G102:J102"/>
    <mergeCell ref="Q88:R88"/>
    <mergeCell ref="E172:K172"/>
    <mergeCell ref="E181:K181"/>
    <mergeCell ref="U124:W124"/>
    <mergeCell ref="U125:W125"/>
    <mergeCell ref="U126:W126"/>
    <mergeCell ref="U127:W127"/>
    <mergeCell ref="C116:L117"/>
    <mergeCell ref="C134:G134"/>
    <mergeCell ref="C135:G135"/>
    <mergeCell ref="C125:L125"/>
    <mergeCell ref="C174:L176"/>
    <mergeCell ref="D162:J162"/>
    <mergeCell ref="D163:J163"/>
    <mergeCell ref="C177:C178"/>
    <mergeCell ref="D168:J168"/>
    <mergeCell ref="D169:J169"/>
    <mergeCell ref="C165:L167"/>
    <mergeCell ref="D177:J177"/>
    <mergeCell ref="D178:J178"/>
    <mergeCell ref="C162:C163"/>
    <mergeCell ref="C127:G127"/>
    <mergeCell ref="C128:G128"/>
    <mergeCell ref="C129:G129"/>
  </mergeCells>
  <phoneticPr fontId="2" type="noConversion"/>
  <conditionalFormatting sqref="I92 I74 I88">
    <cfRule type="cellIs" dxfId="148" priority="291" stopIfTrue="1" operator="equal">
      <formula>""""""</formula>
    </cfRule>
    <cfRule type="cellIs" dxfId="147" priority="292" stopIfTrue="1" operator="notEqual">
      <formula>""</formula>
    </cfRule>
  </conditionalFormatting>
  <conditionalFormatting sqref="N15:N16">
    <cfRule type="expression" dxfId="146" priority="203">
      <formula>N15="YES"</formula>
    </cfRule>
  </conditionalFormatting>
  <conditionalFormatting sqref="I23:I25 L23:L25 I29:I32 L29:L32 L34 I34 L50:L53 I57 L57 I64 L64 I71 L71 L40:L46 L127:L129 I133 L133:L137 I50:I53">
    <cfRule type="expression" dxfId="145" priority="172">
      <formula>$P$15=0</formula>
    </cfRule>
  </conditionalFormatting>
  <conditionalFormatting sqref="I59:I62 L59:L62">
    <cfRule type="expression" dxfId="144" priority="171">
      <formula>$P$57=0</formula>
    </cfRule>
  </conditionalFormatting>
  <conditionalFormatting sqref="I66:I69 L66:L69">
    <cfRule type="expression" dxfId="143" priority="170">
      <formula>$P$64=0</formula>
    </cfRule>
  </conditionalFormatting>
  <conditionalFormatting sqref="N53">
    <cfRule type="expression" dxfId="142" priority="167">
      <formula>$Q$53=1</formula>
    </cfRule>
  </conditionalFormatting>
  <conditionalFormatting sqref="L75">
    <cfRule type="expression" dxfId="141" priority="165">
      <formula>$P$71=0</formula>
    </cfRule>
  </conditionalFormatting>
  <conditionalFormatting sqref="I75">
    <cfRule type="expression" dxfId="140" priority="164">
      <formula>$P$71=0</formula>
    </cfRule>
  </conditionalFormatting>
  <conditionalFormatting sqref="L77:L80 I77:I80">
    <cfRule type="expression" dxfId="139" priority="162">
      <formula>$P$75=0</formula>
    </cfRule>
  </conditionalFormatting>
  <conditionalFormatting sqref="I82">
    <cfRule type="expression" dxfId="138" priority="161">
      <formula>$P$71=0</formula>
    </cfRule>
  </conditionalFormatting>
  <conditionalFormatting sqref="L82">
    <cfRule type="expression" dxfId="137" priority="160">
      <formula>$P$71=0</formula>
    </cfRule>
  </conditionalFormatting>
  <conditionalFormatting sqref="I84:I87 L84:L87">
    <cfRule type="expression" dxfId="136" priority="158">
      <formula>$P$82=0</formula>
    </cfRule>
  </conditionalFormatting>
  <conditionalFormatting sqref="N71">
    <cfRule type="expression" dxfId="135" priority="360">
      <formula>$T$72=1</formula>
    </cfRule>
  </conditionalFormatting>
  <conditionalFormatting sqref="I40:I46">
    <cfRule type="expression" dxfId="134" priority="156">
      <formula>$P$15=0</formula>
    </cfRule>
  </conditionalFormatting>
  <conditionalFormatting sqref="I127:I129">
    <cfRule type="expression" dxfId="133" priority="143">
      <formula>$P$15=0</formula>
    </cfRule>
  </conditionalFormatting>
  <conditionalFormatting sqref="I134">
    <cfRule type="expression" dxfId="132" priority="142">
      <formula>$P$15=0</formula>
    </cfRule>
  </conditionalFormatting>
  <conditionalFormatting sqref="I135">
    <cfRule type="expression" dxfId="131" priority="141">
      <formula>$P$15=0</formula>
    </cfRule>
  </conditionalFormatting>
  <conditionalFormatting sqref="I136">
    <cfRule type="expression" dxfId="130" priority="140">
      <formula>$P$15=0</formula>
    </cfRule>
  </conditionalFormatting>
  <conditionalFormatting sqref="I137">
    <cfRule type="expression" dxfId="129" priority="139">
      <formula>$P$15=0</formula>
    </cfRule>
  </conditionalFormatting>
  <conditionalFormatting sqref="N145">
    <cfRule type="expression" dxfId="128" priority="121">
      <formula>$S$145=1</formula>
    </cfRule>
  </conditionalFormatting>
  <conditionalFormatting sqref="N155">
    <cfRule type="expression" dxfId="127" priority="120">
      <formula>$S$155=1</formula>
    </cfRule>
  </conditionalFormatting>
  <conditionalFormatting sqref="D162:J163">
    <cfRule type="expression" dxfId="126" priority="82" stopIfTrue="1">
      <formula>$R$163=4</formula>
    </cfRule>
    <cfRule type="expression" dxfId="125" priority="83" stopIfTrue="1">
      <formula>$R$163=3</formula>
    </cfRule>
    <cfRule type="expression" dxfId="124" priority="84" stopIfTrue="1">
      <formula>$R$163=2</formula>
    </cfRule>
    <cfRule type="expression" dxfId="123" priority="85" stopIfTrue="1">
      <formula>$R$163=1</formula>
    </cfRule>
  </conditionalFormatting>
  <conditionalFormatting sqref="D168:J169">
    <cfRule type="expression" dxfId="122" priority="78" stopIfTrue="1">
      <formula>$R$169=4</formula>
    </cfRule>
    <cfRule type="expression" dxfId="121" priority="79" stopIfTrue="1">
      <formula>$R$169=3</formula>
    </cfRule>
    <cfRule type="expression" dxfId="120" priority="80" stopIfTrue="1">
      <formula>$R$169=2</formula>
    </cfRule>
    <cfRule type="expression" dxfId="119" priority="81" stopIfTrue="1">
      <formula>$R$169=1</formula>
    </cfRule>
  </conditionalFormatting>
  <conditionalFormatting sqref="D177:J178">
    <cfRule type="expression" dxfId="118" priority="74" stopIfTrue="1">
      <formula>$R$178=4</formula>
    </cfRule>
    <cfRule type="expression" dxfId="117" priority="75" stopIfTrue="1">
      <formula>$R$178=3</formula>
    </cfRule>
    <cfRule type="expression" dxfId="116" priority="76" stopIfTrue="1">
      <formula>$R$178=2</formula>
    </cfRule>
    <cfRule type="expression" dxfId="115" priority="77" stopIfTrue="1">
      <formula>$R$178=1</formula>
    </cfRule>
  </conditionalFormatting>
  <conditionalFormatting sqref="I141">
    <cfRule type="expression" dxfId="114" priority="73">
      <formula>$P$15=0</formula>
    </cfRule>
  </conditionalFormatting>
  <conditionalFormatting sqref="I142">
    <cfRule type="expression" dxfId="113" priority="72">
      <formula>$P$15=0</formula>
    </cfRule>
  </conditionalFormatting>
  <conditionalFormatting sqref="I143">
    <cfRule type="expression" dxfId="112" priority="71">
      <formula>$P$15=0</formula>
    </cfRule>
  </conditionalFormatting>
  <conditionalFormatting sqref="I144">
    <cfRule type="expression" dxfId="111" priority="70">
      <formula>$P$15=0</formula>
    </cfRule>
  </conditionalFormatting>
  <conditionalFormatting sqref="I145">
    <cfRule type="expression" dxfId="110" priority="69">
      <formula>$P$15=0</formula>
    </cfRule>
  </conditionalFormatting>
  <conditionalFormatting sqref="L141">
    <cfRule type="expression" dxfId="109" priority="68">
      <formula>$P$15=0</formula>
    </cfRule>
  </conditionalFormatting>
  <conditionalFormatting sqref="L142">
    <cfRule type="expression" dxfId="108" priority="67">
      <formula>$P$15=0</formula>
    </cfRule>
  </conditionalFormatting>
  <conditionalFormatting sqref="L143">
    <cfRule type="expression" dxfId="107" priority="66">
      <formula>$P$15=0</formula>
    </cfRule>
  </conditionalFormatting>
  <conditionalFormatting sqref="L144">
    <cfRule type="expression" dxfId="106" priority="65">
      <formula>$P$15=0</formula>
    </cfRule>
  </conditionalFormatting>
  <conditionalFormatting sqref="L145">
    <cfRule type="expression" dxfId="105" priority="64">
      <formula>$P$15=0</formula>
    </cfRule>
  </conditionalFormatting>
  <conditionalFormatting sqref="I150:I155">
    <cfRule type="expression" dxfId="104" priority="62">
      <formula>$P$15=0</formula>
    </cfRule>
  </conditionalFormatting>
  <conditionalFormatting sqref="L149 L154">
    <cfRule type="expression" dxfId="103" priority="58">
      <formula>$P$15=0</formula>
    </cfRule>
  </conditionalFormatting>
  <conditionalFormatting sqref="L150 L155">
    <cfRule type="expression" dxfId="102" priority="57">
      <formula>$P$15=0</formula>
    </cfRule>
  </conditionalFormatting>
  <conditionalFormatting sqref="L151">
    <cfRule type="expression" dxfId="101" priority="56">
      <formula>$P$15=0</formula>
    </cfRule>
  </conditionalFormatting>
  <conditionalFormatting sqref="L152">
    <cfRule type="expression" dxfId="100" priority="55">
      <formula>$P$15=0</formula>
    </cfRule>
  </conditionalFormatting>
  <conditionalFormatting sqref="L153">
    <cfRule type="expression" dxfId="99" priority="54">
      <formula>$P$15=0</formula>
    </cfRule>
  </conditionalFormatting>
  <conditionalFormatting sqref="I149">
    <cfRule type="expression" dxfId="98" priority="53">
      <formula>$P$15=0</formula>
    </cfRule>
  </conditionalFormatting>
  <conditionalFormatting sqref="I110">
    <cfRule type="expression" dxfId="97" priority="52">
      <formula>$P$15=0</formula>
    </cfRule>
  </conditionalFormatting>
  <conditionalFormatting sqref="L110">
    <cfRule type="expression" dxfId="96" priority="51">
      <formula>$P$15=0</formula>
    </cfRule>
  </conditionalFormatting>
  <conditionalFormatting sqref="N116">
    <cfRule type="expression" dxfId="95" priority="200">
      <formula>$N$116="YES"</formula>
    </cfRule>
  </conditionalFormatting>
  <conditionalFormatting sqref="N93:N94">
    <cfRule type="expression" dxfId="94" priority="43">
      <formula>$N$93="YES"</formula>
    </cfRule>
  </conditionalFormatting>
  <conditionalFormatting sqref="N34">
    <cfRule type="expression" dxfId="93" priority="37">
      <formula>AND(T34&gt;0.09,T34&lt;0.3)</formula>
    </cfRule>
    <cfRule type="expression" dxfId="92" priority="38">
      <formula>AND(T34&gt;0.3,T34&lt;0.7)</formula>
    </cfRule>
    <cfRule type="expression" dxfId="91" priority="39">
      <formula>T34&gt;0.6</formula>
    </cfRule>
  </conditionalFormatting>
  <conditionalFormatting sqref="N121">
    <cfRule type="expression" dxfId="90" priority="427">
      <formula>#REF!=1</formula>
    </cfRule>
  </conditionalFormatting>
  <conditionalFormatting sqref="L181">
    <cfRule type="expression" dxfId="89" priority="27">
      <formula>AND(R184&gt;0.09,R184&lt;0.3)</formula>
    </cfRule>
    <cfRule type="expression" dxfId="88" priority="28">
      <formula>AND(R184&gt;0.3,R184&lt;0.7)</formula>
    </cfRule>
    <cfRule type="expression" dxfId="87" priority="29">
      <formula>R184&gt;0.6</formula>
    </cfRule>
  </conditionalFormatting>
  <conditionalFormatting sqref="L172">
    <cfRule type="expression" dxfId="86" priority="20">
      <formula>AND(R181&gt;0.09,R181&lt;0.3)</formula>
    </cfRule>
    <cfRule type="expression" dxfId="85" priority="21">
      <formula>AND(R181&gt;0.3,R181&lt;0.7)</formula>
    </cfRule>
    <cfRule type="expression" dxfId="84" priority="22">
      <formula>R181&gt;0.6</formula>
    </cfRule>
  </conditionalFormatting>
  <conditionalFormatting sqref="N137">
    <cfRule type="expression" dxfId="83" priority="16">
      <formula>AND(S136&gt;0.09,S136&lt;0.3)</formula>
    </cfRule>
    <cfRule type="expression" dxfId="82" priority="17">
      <formula>AND(S136&gt;0.3,S136&lt;0.7)</formula>
    </cfRule>
    <cfRule type="expression" dxfId="81" priority="18">
      <formula>S136&gt;0.6</formula>
    </cfRule>
  </conditionalFormatting>
  <conditionalFormatting sqref="T99">
    <cfRule type="expression" dxfId="80" priority="428">
      <formula>#REF!=$T$99</formula>
    </cfRule>
  </conditionalFormatting>
  <conditionalFormatting sqref="T100 U99:V101 V97:V98">
    <cfRule type="expression" dxfId="79" priority="429">
      <formula>#REF!=$T$100</formula>
    </cfRule>
  </conditionalFormatting>
  <conditionalFormatting sqref="T101">
    <cfRule type="expression" dxfId="78" priority="431">
      <formula>#REF!=$T$101</formula>
    </cfRule>
  </conditionalFormatting>
  <conditionalFormatting sqref="T97:T98">
    <cfRule type="expression" dxfId="77" priority="10">
      <formula>#REF!=$T$99</formula>
    </cfRule>
  </conditionalFormatting>
  <conditionalFormatting sqref="W97:X101">
    <cfRule type="expression" dxfId="76" priority="9">
      <formula>#REF!=$T$100</formula>
    </cfRule>
  </conditionalFormatting>
  <conditionalFormatting sqref="Y97:AA101">
    <cfRule type="expression" dxfId="75" priority="8">
      <formula>#REF!=$T$100</formula>
    </cfRule>
  </conditionalFormatting>
  <conditionalFormatting sqref="Y102:AA102">
    <cfRule type="expression" dxfId="74" priority="7">
      <formula>#REF!=$T$100</formula>
    </cfRule>
  </conditionalFormatting>
  <conditionalFormatting sqref="Y103:AA103">
    <cfRule type="expression" dxfId="73" priority="6">
      <formula>#REF!=$T$100</formula>
    </cfRule>
  </conditionalFormatting>
  <conditionalFormatting sqref="Y104:AA104">
    <cfRule type="expression" dxfId="72" priority="5">
      <formula>#REF!=$T$100</formula>
    </cfRule>
  </conditionalFormatting>
  <conditionalFormatting sqref="N110">
    <cfRule type="expression" priority="432" stopIfTrue="1">
      <formula>$Y$107=""</formula>
    </cfRule>
    <cfRule type="expression" dxfId="71" priority="433" stopIfTrue="1">
      <formula>$Y$107=1</formula>
    </cfRule>
    <cfRule type="expression" dxfId="70" priority="434" stopIfTrue="1">
      <formula>AND($Y$107&gt;=0.26,$Y$107&lt;0.9999)</formula>
    </cfRule>
    <cfRule type="expression" dxfId="69" priority="435" stopIfTrue="1">
      <formula>AND($Y$107&lt;0.26,$Y$107&gt;0.099)</formula>
    </cfRule>
    <cfRule type="expression" dxfId="68" priority="436" stopIfTrue="1">
      <formula>$Y$107&lt;=0.0999</formula>
    </cfRule>
  </conditionalFormatting>
  <conditionalFormatting sqref="G104">
    <cfRule type="expression" dxfId="67" priority="4">
      <formula>$Y$103=1</formula>
    </cfRule>
  </conditionalFormatting>
  <conditionalFormatting sqref="G106">
    <cfRule type="expression" dxfId="66" priority="3">
      <formula>$Z$103=1</formula>
    </cfRule>
  </conditionalFormatting>
  <conditionalFormatting sqref="G108">
    <cfRule type="expression" dxfId="65" priority="2">
      <formula>$AA$103=1</formula>
    </cfRule>
  </conditionalFormatting>
  <conditionalFormatting sqref="G102:J102">
    <cfRule type="expression" dxfId="64" priority="1">
      <formula>$Q$103=1</formula>
    </cfRule>
  </conditionalFormatting>
  <dataValidations count="2">
    <dataValidation type="list" allowBlank="1" showInputMessage="1" showErrorMessage="1" sqref="H121:L121">
      <formula1>$U$117:$U$127</formula1>
    </dataValidation>
    <dataValidation type="list" allowBlank="1" showInputMessage="1" showErrorMessage="1" sqref="J99:L99">
      <formula1>$T$97:$T$101</formula1>
    </dataValidation>
  </dataValidations>
  <pageMargins left="0.32" right="0.16" top="0.34" bottom="0.46" header="0.32" footer="0.37"/>
  <pageSetup paperSize="9" scale="47" orientation="portrait" horizontalDpi="300" verticalDpi="300" r:id="rId1"/>
  <headerFooter alignWithMargins="0"/>
  <rowBreaks count="1" manualBreakCount="1">
    <brk id="89" max="13" man="1"/>
  </rowBreaks>
  <drawing r:id="rId2"/>
  <legacyDrawing r:id="rId3"/>
  <oleObjects>
    <mc:AlternateContent xmlns:mc="http://schemas.openxmlformats.org/markup-compatibility/2006">
      <mc:Choice Requires="x14">
        <oleObject progId="MS_ClipArt_Gallery" shapeId="107080" r:id="rId4">
          <objectPr defaultSize="0" autoPict="0" r:id="rId5">
            <anchor moveWithCells="1" sizeWithCells="1">
              <from>
                <xdr:col>13</xdr:col>
                <xdr:colOff>104775</xdr:colOff>
                <xdr:row>182</xdr:row>
                <xdr:rowOff>0</xdr:rowOff>
              </from>
              <to>
                <xdr:col>14</xdr:col>
                <xdr:colOff>0</xdr:colOff>
                <xdr:row>182</xdr:row>
                <xdr:rowOff>0</xdr:rowOff>
              </to>
            </anchor>
          </objectPr>
        </oleObject>
      </mc:Choice>
      <mc:Fallback>
        <oleObject progId="MS_ClipArt_Gallery" shapeId="10708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9"/>
  <sheetViews>
    <sheetView topLeftCell="A49" zoomScale="70" zoomScaleNormal="70" zoomScaleSheetLayoutView="64" workbookViewId="0">
      <selection activeCell="L57" sqref="L57"/>
    </sheetView>
  </sheetViews>
  <sheetFormatPr defaultColWidth="0" defaultRowHeight="12.75" zeroHeight="1" x14ac:dyDescent="0.2"/>
  <cols>
    <col min="1" max="1" width="4.7109375" style="7" customWidth="1"/>
    <col min="2" max="2" width="6.7109375" style="7" customWidth="1"/>
    <col min="3" max="3" width="51.140625" style="7" customWidth="1"/>
    <col min="4" max="4" width="20.140625" style="7" customWidth="1"/>
    <col min="5" max="5" width="8.85546875" style="7" customWidth="1"/>
    <col min="6" max="6" width="12.140625" style="7" customWidth="1"/>
    <col min="7" max="7" width="35.140625" style="7" customWidth="1"/>
    <col min="8" max="8" width="10.7109375" style="7" customWidth="1"/>
    <col min="9" max="9" width="10.7109375" style="8" customWidth="1"/>
    <col min="10" max="10" width="9.7109375" style="7" customWidth="1"/>
    <col min="11" max="11" width="10.7109375" style="7" customWidth="1"/>
    <col min="12" max="12" width="12.42578125" style="8" customWidth="1"/>
    <col min="13" max="13" width="1.28515625" style="7" customWidth="1"/>
    <col min="14" max="14" width="10" style="7" customWidth="1"/>
    <col min="15" max="15" width="4.7109375" style="7" customWidth="1"/>
    <col min="16" max="16" width="12.7109375" style="371" hidden="1" customWidth="1"/>
    <col min="17" max="17" width="7.5703125" style="7" hidden="1" customWidth="1"/>
    <col min="18" max="18" width="12.28515625" style="7" hidden="1" customWidth="1"/>
    <col min="19" max="19" width="13.42578125" style="7" hidden="1" customWidth="1"/>
    <col min="20" max="20" width="20.7109375" style="7" hidden="1" customWidth="1"/>
    <col min="21" max="21" width="13.42578125" style="7" hidden="1" customWidth="1"/>
    <col min="22" max="22" width="14.28515625" style="7" hidden="1" customWidth="1"/>
    <col min="23" max="23" width="11.42578125" style="7" hidden="1" customWidth="1"/>
    <col min="24" max="24" width="17.140625" style="7" hidden="1" customWidth="1"/>
    <col min="25" max="30" width="6.7109375" style="7" hidden="1" customWidth="1"/>
    <col min="31" max="31" width="8.5703125" style="7" hidden="1" customWidth="1"/>
    <col min="32" max="32" width="5.140625" style="7" hidden="1" customWidth="1"/>
    <col min="33" max="33" width="8.5703125" style="7" hidden="1" customWidth="1"/>
    <col min="34" max="38" width="5.140625" style="7" hidden="1" customWidth="1"/>
    <col min="39" max="16384" width="8.85546875" style="7" hidden="1"/>
  </cols>
  <sheetData>
    <row r="1" spans="1:34" ht="21.75" customHeight="1" x14ac:dyDescent="0.2">
      <c r="A1" s="367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272"/>
      <c r="AH1" s="8"/>
    </row>
    <row r="2" spans="1:34" ht="97.5" customHeight="1" x14ac:dyDescent="0.2">
      <c r="A2" s="341"/>
      <c r="B2" s="1013" t="s">
        <v>512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370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72"/>
      <c r="AH2" s="8"/>
    </row>
    <row r="3" spans="1:34" ht="22.5" customHeight="1" x14ac:dyDescent="0.25">
      <c r="A3" s="341"/>
      <c r="B3" s="36"/>
      <c r="C3" s="172"/>
      <c r="D3" s="124"/>
      <c r="E3" s="124"/>
      <c r="F3" s="124"/>
      <c r="G3" s="124"/>
      <c r="H3" s="36"/>
      <c r="I3" s="36"/>
      <c r="J3" s="36"/>
      <c r="K3" s="36"/>
      <c r="L3" s="36"/>
      <c r="M3" s="36"/>
      <c r="N3" s="36"/>
      <c r="O3" s="370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272"/>
      <c r="AH3" s="8"/>
    </row>
    <row r="4" spans="1:34" ht="27" customHeight="1" x14ac:dyDescent="0.2">
      <c r="A4" s="341"/>
      <c r="B4" s="904" t="s">
        <v>66</v>
      </c>
      <c r="C4" s="908"/>
      <c r="D4" s="886" t="str">
        <f>IF('HAZARDS-GEN'!D11="","",'HAZARDS-GEN'!D11)</f>
        <v>xxxxxxxx</v>
      </c>
      <c r="E4" s="887"/>
      <c r="F4" s="888"/>
      <c r="G4" s="36"/>
      <c r="H4" s="904" t="s">
        <v>59</v>
      </c>
      <c r="I4" s="904"/>
      <c r="J4" s="886" t="str">
        <f>IF('HAZARDS-GEN'!$J$11="","",'HAZARDS-GEN'!$J$11)</f>
        <v>xxxxxxxxxxxx</v>
      </c>
      <c r="K4" s="887"/>
      <c r="L4" s="887"/>
      <c r="M4" s="887"/>
      <c r="N4" s="888"/>
      <c r="O4" s="116"/>
      <c r="P4" s="168"/>
      <c r="Q4" s="168"/>
      <c r="R4" s="168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72"/>
      <c r="AH4" s="8"/>
    </row>
    <row r="5" spans="1:34" ht="10.5" customHeight="1" x14ac:dyDescent="0.25">
      <c r="A5" s="341"/>
      <c r="B5" s="36"/>
      <c r="C5" s="342"/>
      <c r="D5" s="39"/>
      <c r="E5" s="39"/>
      <c r="F5" s="39"/>
      <c r="G5" s="40"/>
      <c r="H5" s="40"/>
      <c r="I5" s="40"/>
      <c r="J5" s="39"/>
      <c r="K5" s="41"/>
      <c r="L5" s="42"/>
      <c r="M5" s="43"/>
      <c r="N5" s="43"/>
      <c r="O5" s="540"/>
      <c r="P5" s="177"/>
      <c r="Q5" s="167"/>
      <c r="R5" s="17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272"/>
      <c r="AH5" s="8"/>
    </row>
    <row r="6" spans="1:34" ht="27.75" customHeight="1" x14ac:dyDescent="0.2">
      <c r="A6" s="341"/>
      <c r="B6" s="904" t="s">
        <v>112</v>
      </c>
      <c r="C6" s="908"/>
      <c r="D6" s="886" t="str">
        <f>IF('HAZARDS-GEN'!D13="","",'HAZARDS-GEN'!D13)</f>
        <v>xxxxxxxxxxxx</v>
      </c>
      <c r="E6" s="887"/>
      <c r="F6" s="888"/>
      <c r="G6" s="36"/>
      <c r="H6" s="905" t="s">
        <v>287</v>
      </c>
      <c r="I6" s="905"/>
      <c r="J6" s="182" t="s">
        <v>243</v>
      </c>
      <c r="K6" s="292" t="str">
        <f>IF('HAZARDS-GEN'!K13="","",'HAZARDS-GEN'!K13)</f>
        <v/>
      </c>
      <c r="L6" s="290"/>
      <c r="M6" s="290"/>
      <c r="N6" s="291"/>
      <c r="O6" s="370"/>
      <c r="P6" s="36"/>
      <c r="Q6" s="36"/>
      <c r="R6" s="3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272"/>
      <c r="AH6" s="8"/>
    </row>
    <row r="7" spans="1:34" ht="28.5" customHeight="1" x14ac:dyDescent="0.2">
      <c r="A7" s="341"/>
      <c r="B7" s="36"/>
      <c r="C7" s="51"/>
      <c r="D7" s="40"/>
      <c r="E7" s="40"/>
      <c r="F7" s="40"/>
      <c r="G7" s="46"/>
      <c r="H7" s="905"/>
      <c r="I7" s="905"/>
      <c r="J7" s="182" t="s">
        <v>244</v>
      </c>
      <c r="K7" s="292" t="str">
        <f>IF('HAZARDS-GEN'!K14="","",'HAZARDS-GEN'!K14)</f>
        <v/>
      </c>
      <c r="L7" s="290"/>
      <c r="M7" s="290"/>
      <c r="N7" s="291"/>
      <c r="O7" s="370"/>
      <c r="P7" s="36"/>
      <c r="Q7" s="36"/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272"/>
      <c r="AH7" s="8"/>
    </row>
    <row r="8" spans="1:34" ht="18.75" customHeight="1" x14ac:dyDescent="0.2">
      <c r="A8" s="341"/>
      <c r="B8" s="36"/>
      <c r="C8" s="51"/>
      <c r="D8" s="54"/>
      <c r="E8" s="54"/>
      <c r="F8" s="54"/>
      <c r="G8" s="51"/>
      <c r="H8" s="51"/>
      <c r="I8" s="54"/>
      <c r="J8" s="54"/>
      <c r="K8" s="54"/>
      <c r="L8" s="54"/>
      <c r="M8" s="54"/>
      <c r="N8" s="54"/>
      <c r="O8" s="370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72"/>
      <c r="AH8" s="8"/>
    </row>
    <row r="9" spans="1:34" s="8" customFormat="1" ht="44.1" customHeight="1" x14ac:dyDescent="0.2">
      <c r="A9" s="341"/>
      <c r="B9" s="757" t="s">
        <v>513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9"/>
      <c r="O9" s="370"/>
      <c r="P9" s="36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72"/>
    </row>
    <row r="10" spans="1:34" ht="14.25" customHeight="1" x14ac:dyDescent="0.8">
      <c r="A10" s="341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370"/>
      <c r="P10" s="3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72"/>
      <c r="AH10" s="8"/>
    </row>
    <row r="11" spans="1:34" s="10" customFormat="1" ht="11.25" customHeight="1" x14ac:dyDescent="0.2">
      <c r="A11" s="55"/>
      <c r="B11" s="937" t="s">
        <v>19</v>
      </c>
      <c r="C11" s="910" t="s">
        <v>515</v>
      </c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370"/>
      <c r="P11" s="36"/>
      <c r="Q11" s="37"/>
      <c r="R11" s="37"/>
      <c r="S11" s="37"/>
      <c r="T11" s="37"/>
      <c r="U11" s="37"/>
      <c r="V11" s="37"/>
      <c r="W11" s="37"/>
      <c r="X11" s="55"/>
      <c r="Y11" s="55"/>
      <c r="Z11" s="37"/>
      <c r="AA11" s="37"/>
      <c r="AB11" s="37"/>
      <c r="AC11" s="37"/>
      <c r="AD11" s="37"/>
      <c r="AE11" s="37"/>
      <c r="AF11" s="55"/>
      <c r="AG11" s="272"/>
      <c r="AH11" s="8"/>
    </row>
    <row r="12" spans="1:34" s="10" customFormat="1" ht="8.25" customHeight="1" x14ac:dyDescent="0.2">
      <c r="A12" s="55"/>
      <c r="B12" s="937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370"/>
      <c r="P12" s="36"/>
      <c r="Q12" s="37"/>
      <c r="R12" s="37"/>
      <c r="S12" s="37"/>
      <c r="T12" s="37"/>
      <c r="U12" s="37"/>
      <c r="V12" s="37"/>
      <c r="W12" s="37"/>
      <c r="X12" s="55"/>
      <c r="Y12" s="55"/>
      <c r="Z12" s="37"/>
      <c r="AA12" s="37"/>
      <c r="AB12" s="37"/>
      <c r="AC12" s="37"/>
      <c r="AD12" s="37"/>
      <c r="AE12" s="37"/>
      <c r="AF12" s="55"/>
      <c r="AG12" s="272"/>
      <c r="AH12" s="8"/>
    </row>
    <row r="13" spans="1:34" s="10" customFormat="1" ht="25.5" customHeight="1" x14ac:dyDescent="0.2">
      <c r="A13" s="55"/>
      <c r="B13" s="937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370"/>
      <c r="P13" s="36"/>
      <c r="Q13" s="37"/>
      <c r="R13" s="37"/>
      <c r="S13" s="37"/>
      <c r="T13" s="37"/>
      <c r="U13" s="37"/>
      <c r="V13" s="37"/>
      <c r="W13" s="37"/>
      <c r="X13" s="55"/>
      <c r="Y13" s="55"/>
      <c r="Z13" s="37"/>
      <c r="AA13" s="37"/>
      <c r="AB13" s="37"/>
      <c r="AC13" s="37"/>
      <c r="AD13" s="37"/>
      <c r="AE13" s="37"/>
      <c r="AF13" s="55"/>
      <c r="AG13" s="272"/>
      <c r="AH13" s="8"/>
    </row>
    <row r="14" spans="1:34" s="8" customFormat="1" ht="7.5" customHeight="1" x14ac:dyDescent="0.2">
      <c r="A14" s="341"/>
      <c r="B14" s="17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370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72"/>
    </row>
    <row r="15" spans="1:34" ht="26.25" customHeight="1" x14ac:dyDescent="0.2">
      <c r="A15" s="341"/>
      <c r="B15" s="36"/>
      <c r="C15" s="913" t="s">
        <v>514</v>
      </c>
      <c r="D15" s="913"/>
      <c r="E15" s="913"/>
      <c r="F15" s="913"/>
      <c r="G15" s="913"/>
      <c r="H15" s="913"/>
      <c r="I15" s="913"/>
      <c r="J15" s="913"/>
      <c r="K15" s="913"/>
      <c r="L15" s="913"/>
      <c r="M15" s="36"/>
      <c r="N15" s="911" t="str">
        <f>IF('HAZARDS-GEN'!S70&lt;&gt;5,"YES","NO")</f>
        <v>YES</v>
      </c>
      <c r="O15" s="370"/>
      <c r="P15" s="379">
        <f>IF(N15="YES",1,0)</f>
        <v>1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72"/>
      <c r="AH15" s="8"/>
    </row>
    <row r="16" spans="1:34" ht="26.25" customHeight="1" x14ac:dyDescent="0.2">
      <c r="A16" s="341"/>
      <c r="B16" s="36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36"/>
      <c r="N16" s="912"/>
      <c r="O16" s="370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72"/>
      <c r="AH16" s="8"/>
    </row>
    <row r="17" spans="1:36" ht="14.25" customHeight="1" x14ac:dyDescent="0.2">
      <c r="A17" s="341"/>
      <c r="B17" s="36"/>
      <c r="C17" s="1019" t="str">
        <f>IF(P15=1,IF(W58=1,"","Please, proceed to answer these questions"),"Awkward postures are not present. Skip this sheet")</f>
        <v>Please, proceed to answer these questions</v>
      </c>
      <c r="D17" s="1019"/>
      <c r="E17" s="1019"/>
      <c r="F17" s="1019"/>
      <c r="G17" s="1019"/>
      <c r="H17" s="1019"/>
      <c r="I17" s="1019"/>
      <c r="J17" s="1019"/>
      <c r="K17" s="1019"/>
      <c r="L17" s="1019"/>
      <c r="M17" s="36"/>
      <c r="N17" s="36"/>
      <c r="O17" s="37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272"/>
      <c r="AH17" s="8"/>
    </row>
    <row r="18" spans="1:36" ht="18" customHeight="1" x14ac:dyDescent="0.2">
      <c r="A18" s="341"/>
      <c r="B18" s="36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36"/>
      <c r="N18" s="36"/>
      <c r="O18" s="370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72"/>
      <c r="AH18" s="8"/>
    </row>
    <row r="19" spans="1:36" ht="25.5" customHeight="1" x14ac:dyDescent="0.2">
      <c r="A19" s="271"/>
      <c r="B19" s="36"/>
      <c r="C19" s="885" t="s">
        <v>393</v>
      </c>
      <c r="D19" s="885"/>
      <c r="E19" s="885"/>
      <c r="F19" s="885"/>
      <c r="G19" s="885"/>
      <c r="H19" s="885"/>
      <c r="I19" s="885"/>
      <c r="J19" s="885"/>
      <c r="K19" s="885"/>
      <c r="L19" s="885"/>
      <c r="M19" s="36"/>
      <c r="N19" s="36"/>
      <c r="O19" s="370"/>
      <c r="P19" s="245" t="s">
        <v>304</v>
      </c>
      <c r="Q19" s="264"/>
      <c r="R19" s="464">
        <f>IF(L36=1,1,0)</f>
        <v>0</v>
      </c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272"/>
      <c r="AH19" s="8"/>
      <c r="AI19" s="8"/>
      <c r="AJ19" s="8"/>
    </row>
    <row r="20" spans="1:36" ht="13.5" customHeight="1" x14ac:dyDescent="0.2">
      <c r="A20" s="271"/>
      <c r="B20" s="36"/>
      <c r="C20" s="542"/>
      <c r="D20" s="542"/>
      <c r="E20" s="542"/>
      <c r="F20" s="542"/>
      <c r="G20" s="542"/>
      <c r="H20" s="542"/>
      <c r="I20" s="542"/>
      <c r="J20" s="542"/>
      <c r="K20" s="1020" t="str">
        <f>IF(L36&lt;&gt;1,"Please, describe the trunk postures during all the time (100% time)","")</f>
        <v>Please, describe the trunk postures during all the time (100% time)</v>
      </c>
      <c r="L20" s="1020"/>
      <c r="M20" s="36"/>
      <c r="N20" s="36"/>
      <c r="O20" s="370"/>
      <c r="P20" s="36"/>
      <c r="Q20" s="264"/>
      <c r="R20" s="54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272"/>
      <c r="AH20" s="8"/>
      <c r="AI20" s="8"/>
      <c r="AJ20" s="8"/>
    </row>
    <row r="21" spans="1:36" ht="24.75" customHeight="1" x14ac:dyDescent="0.2">
      <c r="A21" s="271"/>
      <c r="B21" s="36"/>
      <c r="C21" s="1018" t="s">
        <v>377</v>
      </c>
      <c r="D21" s="1018"/>
      <c r="E21" s="1018"/>
      <c r="F21" s="1018"/>
      <c r="G21" s="1018"/>
      <c r="H21" s="1018"/>
      <c r="I21" s="1018"/>
      <c r="J21" s="1018" t="s">
        <v>232</v>
      </c>
      <c r="K21" s="1020"/>
      <c r="L21" s="1020"/>
      <c r="M21" s="543"/>
      <c r="N21" s="543"/>
      <c r="O21" s="370"/>
      <c r="P21" s="36"/>
      <c r="Q21" s="264"/>
      <c r="R21" s="54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272"/>
      <c r="AH21" s="8"/>
      <c r="AI21" s="8"/>
      <c r="AJ21" s="8"/>
    </row>
    <row r="22" spans="1:36" ht="21" customHeight="1" x14ac:dyDescent="0.2">
      <c r="A22" s="271"/>
      <c r="B22" s="36"/>
      <c r="C22" s="531"/>
      <c r="D22" s="531"/>
      <c r="E22" s="531"/>
      <c r="F22" s="531"/>
      <c r="G22" s="531"/>
      <c r="H22" s="531"/>
      <c r="I22" s="60"/>
      <c r="J22" s="243"/>
      <c r="K22" s="243"/>
      <c r="L22" s="40" t="s">
        <v>231</v>
      </c>
      <c r="M22" s="60"/>
      <c r="N22" s="60"/>
      <c r="O22" s="370"/>
      <c r="P22" s="36"/>
      <c r="Q22" s="264" t="s">
        <v>400</v>
      </c>
      <c r="R22" s="277" t="s">
        <v>401</v>
      </c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272"/>
      <c r="AH22" s="8"/>
      <c r="AI22" s="8"/>
      <c r="AJ22" s="8"/>
    </row>
    <row r="23" spans="1:36" ht="31.5" customHeight="1" x14ac:dyDescent="0.2">
      <c r="A23" s="271"/>
      <c r="B23" s="36"/>
      <c r="C23" s="1014" t="s">
        <v>375</v>
      </c>
      <c r="D23" s="1015"/>
      <c r="E23" s="1015"/>
      <c r="F23" s="1015"/>
      <c r="G23" s="1015"/>
      <c r="H23" s="1015"/>
      <c r="I23" s="1015"/>
      <c r="J23" s="1015"/>
      <c r="K23" s="1016"/>
      <c r="L23" s="27"/>
      <c r="M23" s="60"/>
      <c r="N23" s="36"/>
      <c r="O23" s="370"/>
      <c r="P23" s="36"/>
      <c r="Q23" s="264">
        <v>1</v>
      </c>
      <c r="R23" s="248">
        <f>L23*Q23</f>
        <v>0</v>
      </c>
      <c r="S23" s="36"/>
      <c r="T23" s="36"/>
      <c r="U23" s="36"/>
      <c r="V23" s="36"/>
      <c r="W23" s="36"/>
      <c r="X23" s="37"/>
      <c r="Y23" s="37"/>
      <c r="Z23" s="526"/>
      <c r="AA23" s="37"/>
      <c r="AB23" s="37"/>
      <c r="AC23" s="37"/>
      <c r="AD23" s="37"/>
      <c r="AE23" s="37"/>
      <c r="AF23" s="37"/>
      <c r="AG23" s="272"/>
      <c r="AH23" s="8"/>
      <c r="AI23" s="8"/>
      <c r="AJ23" s="8"/>
    </row>
    <row r="24" spans="1:36" ht="33" customHeight="1" x14ac:dyDescent="0.2">
      <c r="A24" s="271"/>
      <c r="B24" s="36"/>
      <c r="C24" s="1014" t="s">
        <v>376</v>
      </c>
      <c r="D24" s="1015"/>
      <c r="E24" s="1015"/>
      <c r="F24" s="1015"/>
      <c r="G24" s="1015"/>
      <c r="H24" s="1015"/>
      <c r="I24" s="1015">
        <v>2</v>
      </c>
      <c r="J24" s="1015"/>
      <c r="K24" s="1016"/>
      <c r="L24" s="27"/>
      <c r="M24" s="60"/>
      <c r="N24" s="36"/>
      <c r="O24" s="370"/>
      <c r="P24" s="36"/>
      <c r="Q24" s="264">
        <v>2</v>
      </c>
      <c r="R24" s="248">
        <f>L24*Q24</f>
        <v>0</v>
      </c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272"/>
      <c r="AH24" s="8"/>
      <c r="AI24" s="8"/>
      <c r="AJ24" s="8"/>
    </row>
    <row r="25" spans="1:36" ht="33" customHeight="1" thickBot="1" x14ac:dyDescent="0.25">
      <c r="A25" s="271"/>
      <c r="B25" s="36"/>
      <c r="C25" s="1014" t="s">
        <v>379</v>
      </c>
      <c r="D25" s="1015"/>
      <c r="E25" s="1015"/>
      <c r="F25" s="1015"/>
      <c r="G25" s="1015"/>
      <c r="H25" s="1015"/>
      <c r="I25" s="1015">
        <v>3</v>
      </c>
      <c r="J25" s="1015"/>
      <c r="K25" s="1016"/>
      <c r="L25" s="27"/>
      <c r="M25" s="60"/>
      <c r="N25" s="36"/>
      <c r="O25" s="370"/>
      <c r="P25" s="36"/>
      <c r="Q25" s="264">
        <v>3</v>
      </c>
      <c r="R25" s="248">
        <f>L25*Q25</f>
        <v>0</v>
      </c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272"/>
      <c r="AH25" s="8"/>
      <c r="AI25" s="8"/>
      <c r="AJ25" s="8"/>
    </row>
    <row r="26" spans="1:36" ht="31.5" customHeight="1" thickBot="1" x14ac:dyDescent="0.25">
      <c r="A26" s="271"/>
      <c r="B26" s="36"/>
      <c r="C26" s="1014" t="s">
        <v>380</v>
      </c>
      <c r="D26" s="1015"/>
      <c r="E26" s="1015"/>
      <c r="F26" s="1015"/>
      <c r="G26" s="1015"/>
      <c r="H26" s="1015"/>
      <c r="I26" s="1015">
        <v>4</v>
      </c>
      <c r="J26" s="1015"/>
      <c r="K26" s="1016"/>
      <c r="L26" s="27"/>
      <c r="M26" s="60"/>
      <c r="N26" s="36"/>
      <c r="O26" s="370"/>
      <c r="P26" s="36"/>
      <c r="Q26" s="264">
        <v>8</v>
      </c>
      <c r="R26" s="248">
        <f>L26*Q26</f>
        <v>0</v>
      </c>
      <c r="S26" s="461">
        <f>SUM(R23:R26)</f>
        <v>0</v>
      </c>
      <c r="T26" s="36"/>
      <c r="U26" s="36"/>
      <c r="V26" s="36"/>
      <c r="W26" s="36"/>
      <c r="X26" s="37"/>
      <c r="Y26" s="37"/>
      <c r="Z26" s="37"/>
      <c r="AA26" s="37"/>
      <c r="AB26" s="37"/>
      <c r="AC26" s="37"/>
      <c r="AD26" s="37"/>
      <c r="AE26" s="37"/>
      <c r="AF26" s="37"/>
      <c r="AG26" s="272"/>
      <c r="AH26" s="8"/>
      <c r="AI26" s="8"/>
      <c r="AJ26" s="8"/>
    </row>
    <row r="27" spans="1:36" ht="7.5" hidden="1" customHeight="1" x14ac:dyDescent="0.2">
      <c r="A27" s="271"/>
      <c r="B27" s="36"/>
      <c r="C27" s="62"/>
      <c r="D27" s="63"/>
      <c r="E27" s="63"/>
      <c r="F27" s="63"/>
      <c r="G27" s="63" t="s">
        <v>7</v>
      </c>
      <c r="H27" s="64" t="s">
        <v>8</v>
      </c>
      <c r="I27" s="65"/>
      <c r="J27" s="66">
        <f>S26</f>
        <v>0</v>
      </c>
      <c r="K27" s="72"/>
      <c r="L27" s="67"/>
      <c r="M27" s="60"/>
      <c r="N27" s="36"/>
      <c r="O27" s="370"/>
      <c r="P27" s="36"/>
      <c r="Q27" s="264"/>
      <c r="R27" s="264"/>
      <c r="S27" s="36"/>
      <c r="T27" s="36"/>
      <c r="U27" s="36"/>
      <c r="V27" s="36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272"/>
      <c r="AH27" s="8"/>
      <c r="AI27" s="8"/>
      <c r="AJ27" s="8"/>
    </row>
    <row r="28" spans="1:36" ht="20.25" customHeight="1" x14ac:dyDescent="0.2">
      <c r="A28" s="271"/>
      <c r="B28" s="36"/>
      <c r="C28" s="1017"/>
      <c r="D28" s="1017"/>
      <c r="E28" s="1017"/>
      <c r="F28" s="1017"/>
      <c r="G28" s="1017"/>
      <c r="H28" s="1017"/>
      <c r="I28" s="1017"/>
      <c r="J28" s="129"/>
      <c r="K28" s="60"/>
      <c r="L28" s="60"/>
      <c r="M28" s="60"/>
      <c r="N28" s="36"/>
      <c r="O28" s="370"/>
      <c r="P28" s="36"/>
      <c r="Q28" s="264"/>
      <c r="R28" s="247"/>
      <c r="S28" s="36"/>
      <c r="T28" s="36"/>
      <c r="U28" s="36"/>
      <c r="V28" s="36"/>
      <c r="W28" s="36"/>
      <c r="X28" s="37"/>
      <c r="Y28" s="37"/>
      <c r="Z28" s="37"/>
      <c r="AA28" s="37"/>
      <c r="AB28" s="37"/>
      <c r="AC28" s="37"/>
      <c r="AD28" s="37"/>
      <c r="AE28" s="37"/>
      <c r="AF28" s="37"/>
      <c r="AG28" s="272"/>
      <c r="AH28" s="8"/>
      <c r="AI28" s="8"/>
      <c r="AJ28" s="8"/>
    </row>
    <row r="29" spans="1:36" ht="24.75" customHeight="1" x14ac:dyDescent="0.2">
      <c r="A29" s="271"/>
      <c r="B29" s="36"/>
      <c r="C29" s="1018" t="s">
        <v>378</v>
      </c>
      <c r="D29" s="1018"/>
      <c r="E29" s="1018"/>
      <c r="F29" s="1018"/>
      <c r="G29" s="1018"/>
      <c r="H29" s="1018"/>
      <c r="I29" s="1018"/>
      <c r="J29" s="1018"/>
      <c r="K29" s="60"/>
      <c r="L29" s="60"/>
      <c r="M29" s="543"/>
      <c r="N29" s="543"/>
      <c r="O29" s="370"/>
      <c r="P29" s="36"/>
      <c r="Q29" s="264"/>
      <c r="R29" s="247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272"/>
      <c r="AH29" s="8"/>
      <c r="AI29" s="8"/>
      <c r="AJ29" s="8"/>
    </row>
    <row r="30" spans="1:36" ht="18" customHeight="1" x14ac:dyDescent="0.2">
      <c r="A30" s="271"/>
      <c r="B30" s="36"/>
      <c r="C30" s="531"/>
      <c r="D30" s="531"/>
      <c r="E30" s="531"/>
      <c r="F30" s="531"/>
      <c r="G30" s="531"/>
      <c r="H30" s="531"/>
      <c r="I30" s="60"/>
      <c r="J30" s="243"/>
      <c r="K30" s="243"/>
      <c r="L30" s="40"/>
      <c r="M30" s="60"/>
      <c r="N30" s="60"/>
      <c r="O30" s="370"/>
      <c r="P30" s="36"/>
      <c r="Q30" s="264" t="s">
        <v>400</v>
      </c>
      <c r="R30" s="277" t="s">
        <v>401</v>
      </c>
      <c r="S30" s="36"/>
      <c r="T30" s="36"/>
      <c r="U30" s="36"/>
      <c r="V30" s="36"/>
      <c r="W30" s="36"/>
      <c r="X30" s="37"/>
      <c r="Y30" s="37"/>
      <c r="Z30" s="37"/>
      <c r="AA30" s="37"/>
      <c r="AB30" s="37"/>
      <c r="AC30" s="37"/>
      <c r="AD30" s="37"/>
      <c r="AE30" s="37"/>
      <c r="AF30" s="37"/>
      <c r="AG30" s="272"/>
      <c r="AH30" s="8"/>
      <c r="AI30" s="8"/>
      <c r="AJ30" s="8"/>
    </row>
    <row r="31" spans="1:36" ht="33" customHeight="1" x14ac:dyDescent="0.2">
      <c r="A31" s="271"/>
      <c r="B31" s="36"/>
      <c r="C31" s="1014" t="s">
        <v>381</v>
      </c>
      <c r="D31" s="1015"/>
      <c r="E31" s="1015"/>
      <c r="F31" s="1015"/>
      <c r="G31" s="1015"/>
      <c r="H31" s="1015"/>
      <c r="I31" s="1015">
        <v>0</v>
      </c>
      <c r="J31" s="1015"/>
      <c r="K31" s="1016"/>
      <c r="L31" s="27"/>
      <c r="M31" s="60"/>
      <c r="N31" s="36"/>
      <c r="O31" s="370"/>
      <c r="P31" s="36"/>
      <c r="Q31" s="264">
        <v>0</v>
      </c>
      <c r="R31" s="248">
        <f>L31*Q31</f>
        <v>0</v>
      </c>
      <c r="S31" s="36"/>
      <c r="T31" s="36"/>
      <c r="U31" s="36"/>
      <c r="V31" s="36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272"/>
      <c r="AH31" s="8"/>
      <c r="AI31" s="8"/>
      <c r="AJ31" s="8"/>
    </row>
    <row r="32" spans="1:36" ht="33" customHeight="1" x14ac:dyDescent="0.2">
      <c r="A32" s="271"/>
      <c r="B32" s="36"/>
      <c r="C32" s="1014" t="s">
        <v>382</v>
      </c>
      <c r="D32" s="1015"/>
      <c r="E32" s="1015"/>
      <c r="F32" s="1015"/>
      <c r="G32" s="1015"/>
      <c r="H32" s="1015"/>
      <c r="I32" s="1015">
        <v>2</v>
      </c>
      <c r="J32" s="1015"/>
      <c r="K32" s="1016"/>
      <c r="L32" s="27"/>
      <c r="M32" s="60"/>
      <c r="N32" s="60"/>
      <c r="O32" s="370"/>
      <c r="P32" s="36"/>
      <c r="Q32" s="264">
        <v>2</v>
      </c>
      <c r="R32" s="248">
        <f>L32*Q32</f>
        <v>0</v>
      </c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272"/>
      <c r="AH32" s="8"/>
      <c r="AI32" s="8"/>
      <c r="AJ32" s="8"/>
    </row>
    <row r="33" spans="1:36" ht="33" customHeight="1" thickBot="1" x14ac:dyDescent="0.25">
      <c r="A33" s="271"/>
      <c r="B33" s="36"/>
      <c r="C33" s="1014" t="s">
        <v>383</v>
      </c>
      <c r="D33" s="1015"/>
      <c r="E33" s="1015"/>
      <c r="F33" s="1015"/>
      <c r="G33" s="1015"/>
      <c r="H33" s="1015"/>
      <c r="I33" s="1015">
        <v>3</v>
      </c>
      <c r="J33" s="1015"/>
      <c r="K33" s="1016"/>
      <c r="L33" s="27"/>
      <c r="M33" s="60"/>
      <c r="N33" s="60"/>
      <c r="O33" s="370"/>
      <c r="P33" s="36"/>
      <c r="Q33" s="264">
        <v>3</v>
      </c>
      <c r="R33" s="248">
        <f>L33*Q33</f>
        <v>0</v>
      </c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272"/>
      <c r="AH33" s="8"/>
      <c r="AI33" s="8"/>
      <c r="AJ33" s="8"/>
    </row>
    <row r="34" spans="1:36" ht="33" customHeight="1" thickBot="1" x14ac:dyDescent="0.25">
      <c r="A34" s="271"/>
      <c r="B34" s="36"/>
      <c r="C34" s="1014" t="s">
        <v>384</v>
      </c>
      <c r="D34" s="1015"/>
      <c r="E34" s="1015"/>
      <c r="F34" s="1015"/>
      <c r="G34" s="1015"/>
      <c r="H34" s="1015"/>
      <c r="I34" s="1015">
        <v>4</v>
      </c>
      <c r="J34" s="1015"/>
      <c r="K34" s="1016"/>
      <c r="L34" s="27"/>
      <c r="M34" s="60"/>
      <c r="N34" s="60"/>
      <c r="O34" s="370"/>
      <c r="P34" s="36"/>
      <c r="Q34" s="264">
        <v>4</v>
      </c>
      <c r="R34" s="262">
        <f>L34*Q34</f>
        <v>0</v>
      </c>
      <c r="S34" s="461">
        <f>SUM(R31:R34)</f>
        <v>0</v>
      </c>
      <c r="T34" s="36"/>
      <c r="U34" s="36"/>
      <c r="V34" s="36"/>
      <c r="W34" s="36"/>
      <c r="X34" s="37"/>
      <c r="Y34" s="37"/>
      <c r="Z34" s="37"/>
      <c r="AA34" s="37"/>
      <c r="AB34" s="37"/>
      <c r="AC34" s="37"/>
      <c r="AD34" s="37"/>
      <c r="AE34" s="37"/>
      <c r="AF34" s="37"/>
      <c r="AG34" s="272"/>
      <c r="AH34" s="8"/>
      <c r="AI34" s="8"/>
      <c r="AJ34" s="8"/>
    </row>
    <row r="35" spans="1:36" ht="15" customHeight="1" x14ac:dyDescent="0.2">
      <c r="A35" s="27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60"/>
      <c r="O35" s="370"/>
      <c r="P35" s="36"/>
      <c r="Q35" s="264"/>
      <c r="R35" s="54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272"/>
      <c r="AH35" s="8"/>
      <c r="AI35" s="8"/>
      <c r="AJ35" s="8"/>
    </row>
    <row r="36" spans="1:36" ht="26.1" customHeight="1" x14ac:dyDescent="0.2">
      <c r="A36" s="271"/>
      <c r="B36" s="36"/>
      <c r="C36" s="1024" t="s">
        <v>391</v>
      </c>
      <c r="D36" s="1025"/>
      <c r="E36" s="1025"/>
      <c r="F36" s="1026"/>
      <c r="G36" s="1027" t="s">
        <v>397</v>
      </c>
      <c r="H36" s="1027"/>
      <c r="I36" s="1027"/>
      <c r="J36" s="1027"/>
      <c r="K36" s="1027"/>
      <c r="L36" s="466">
        <f>SUM(L23:L34)</f>
        <v>0</v>
      </c>
      <c r="M36" s="36"/>
      <c r="N36" s="36"/>
      <c r="O36" s="370"/>
      <c r="P36" s="37"/>
      <c r="Q36" s="37"/>
      <c r="R36" s="1028" t="s">
        <v>402</v>
      </c>
      <c r="S36" s="1029"/>
      <c r="T36" s="462">
        <f>SUM(R23:R34)</f>
        <v>0</v>
      </c>
      <c r="U36" s="460" t="s">
        <v>495</v>
      </c>
      <c r="V36" s="36"/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272"/>
      <c r="AH36" s="8"/>
      <c r="AI36" s="8"/>
      <c r="AJ36" s="8"/>
    </row>
    <row r="37" spans="1:36" ht="14.25" customHeight="1" x14ac:dyDescent="0.2">
      <c r="A37" s="27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0"/>
      <c r="P37" s="36"/>
      <c r="Q37" s="264"/>
      <c r="R37" s="54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272"/>
      <c r="AH37" s="8"/>
      <c r="AI37" s="8"/>
      <c r="AJ37" s="8"/>
    </row>
    <row r="38" spans="1:36" ht="33.75" customHeight="1" x14ac:dyDescent="0.2">
      <c r="A38" s="271"/>
      <c r="B38" s="36"/>
      <c r="C38" s="885" t="s">
        <v>394</v>
      </c>
      <c r="D38" s="885"/>
      <c r="E38" s="885"/>
      <c r="F38" s="885"/>
      <c r="G38" s="885"/>
      <c r="H38" s="885"/>
      <c r="I38" s="885"/>
      <c r="J38" s="885"/>
      <c r="K38" s="885"/>
      <c r="L38" s="885"/>
      <c r="M38" s="36"/>
      <c r="N38" s="36"/>
      <c r="O38" s="370"/>
      <c r="P38" s="245" t="s">
        <v>304</v>
      </c>
      <c r="Q38" s="264"/>
      <c r="R38" s="464">
        <f>IF(L52=1,1,0)</f>
        <v>0</v>
      </c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272"/>
      <c r="AH38" s="8"/>
      <c r="AI38" s="8"/>
      <c r="AJ38" s="8"/>
    </row>
    <row r="39" spans="1:36" ht="14.1" customHeight="1" x14ac:dyDescent="0.2">
      <c r="A39" s="271"/>
      <c r="B39" s="36"/>
      <c r="C39" s="542"/>
      <c r="D39" s="542"/>
      <c r="E39" s="542"/>
      <c r="F39" s="542"/>
      <c r="G39" s="542"/>
      <c r="H39" s="542"/>
      <c r="I39" s="542"/>
      <c r="J39" s="542"/>
      <c r="K39" s="1020" t="str">
        <f>IF(L52&lt;&gt;1,"Please, describe lower limbs postures during all the time (100% time)","")</f>
        <v>Please, describe lower limbs postures during all the time (100% time)</v>
      </c>
      <c r="L39" s="1020"/>
      <c r="M39" s="36"/>
      <c r="N39" s="36"/>
      <c r="O39" s="370"/>
      <c r="P39" s="36"/>
      <c r="Q39" s="264"/>
      <c r="R39" s="54"/>
      <c r="S39" s="36"/>
      <c r="T39" s="36"/>
      <c r="U39" s="36"/>
      <c r="V39" s="36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272"/>
      <c r="AH39" s="8"/>
      <c r="AI39" s="8"/>
      <c r="AJ39" s="8"/>
    </row>
    <row r="40" spans="1:36" ht="24.75" customHeight="1" x14ac:dyDescent="0.2">
      <c r="A40" s="271"/>
      <c r="B40" s="36"/>
      <c r="C40" s="1018" t="s">
        <v>377</v>
      </c>
      <c r="D40" s="1018"/>
      <c r="E40" s="1018"/>
      <c r="F40" s="1018"/>
      <c r="G40" s="1018"/>
      <c r="H40" s="1018"/>
      <c r="I40" s="1018"/>
      <c r="J40" s="1018" t="s">
        <v>232</v>
      </c>
      <c r="K40" s="1020"/>
      <c r="L40" s="1020"/>
      <c r="M40" s="543"/>
      <c r="N40" s="543"/>
      <c r="O40" s="370"/>
      <c r="P40" s="36"/>
      <c r="Q40" s="264"/>
      <c r="R40" s="54"/>
      <c r="S40" s="36"/>
      <c r="T40" s="36"/>
      <c r="U40" s="36"/>
      <c r="V40" s="36"/>
      <c r="W40" s="36"/>
      <c r="X40" s="37"/>
      <c r="Y40" s="37"/>
      <c r="Z40" s="37"/>
      <c r="AA40" s="37"/>
      <c r="AB40" s="37"/>
      <c r="AC40" s="37"/>
      <c r="AD40" s="37"/>
      <c r="AE40" s="37"/>
      <c r="AF40" s="37"/>
      <c r="AG40" s="272"/>
      <c r="AH40" s="8"/>
      <c r="AI40" s="8"/>
      <c r="AJ40" s="8"/>
    </row>
    <row r="41" spans="1:36" ht="18" customHeight="1" x14ac:dyDescent="0.2">
      <c r="A41" s="271"/>
      <c r="B41" s="36"/>
      <c r="C41" s="531"/>
      <c r="D41" s="531"/>
      <c r="E41" s="531"/>
      <c r="F41" s="531"/>
      <c r="G41" s="531"/>
      <c r="H41" s="531"/>
      <c r="I41" s="60"/>
      <c r="J41" s="243"/>
      <c r="K41" s="243"/>
      <c r="L41" s="40" t="s">
        <v>231</v>
      </c>
      <c r="M41" s="60"/>
      <c r="N41" s="60"/>
      <c r="O41" s="370"/>
      <c r="P41" s="36"/>
      <c r="Q41" s="264" t="s">
        <v>400</v>
      </c>
      <c r="R41" s="277" t="s">
        <v>401</v>
      </c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7"/>
      <c r="AD41" s="37"/>
      <c r="AE41" s="37"/>
      <c r="AF41" s="37"/>
      <c r="AG41" s="272"/>
      <c r="AH41" s="8"/>
      <c r="AI41" s="8"/>
      <c r="AJ41" s="8"/>
    </row>
    <row r="42" spans="1:36" ht="33" customHeight="1" x14ac:dyDescent="0.2">
      <c r="A42" s="271"/>
      <c r="B42" s="36"/>
      <c r="C42" s="1014" t="s">
        <v>385</v>
      </c>
      <c r="D42" s="1015"/>
      <c r="E42" s="1015"/>
      <c r="F42" s="1015"/>
      <c r="G42" s="1015"/>
      <c r="H42" s="1015"/>
      <c r="I42" s="1015"/>
      <c r="J42" s="1015"/>
      <c r="K42" s="1016"/>
      <c r="L42" s="27"/>
      <c r="M42" s="60"/>
      <c r="N42" s="68"/>
      <c r="O42" s="370"/>
      <c r="P42" s="36"/>
      <c r="Q42" s="264">
        <v>0</v>
      </c>
      <c r="R42" s="248">
        <f>L42*Q42</f>
        <v>0</v>
      </c>
      <c r="S42" s="36"/>
      <c r="T42" s="36"/>
      <c r="U42" s="36"/>
      <c r="V42" s="36"/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272"/>
      <c r="AH42" s="8"/>
      <c r="AI42" s="8"/>
      <c r="AJ42" s="8"/>
    </row>
    <row r="43" spans="1:36" ht="33" customHeight="1" x14ac:dyDescent="0.2">
      <c r="A43" s="271"/>
      <c r="B43" s="36"/>
      <c r="C43" s="1014" t="s">
        <v>386</v>
      </c>
      <c r="D43" s="1015"/>
      <c r="E43" s="1015"/>
      <c r="F43" s="1015"/>
      <c r="G43" s="1015"/>
      <c r="H43" s="1015"/>
      <c r="I43" s="1015"/>
      <c r="J43" s="1015"/>
      <c r="K43" s="1016"/>
      <c r="L43" s="27"/>
      <c r="M43" s="60"/>
      <c r="N43" s="68"/>
      <c r="O43" s="370"/>
      <c r="P43" s="36"/>
      <c r="Q43" s="264">
        <v>1</v>
      </c>
      <c r="R43" s="248">
        <f>L43*Q43</f>
        <v>0</v>
      </c>
      <c r="S43" s="36"/>
      <c r="T43" s="36"/>
      <c r="U43" s="36"/>
      <c r="V43" s="36"/>
      <c r="W43" s="36"/>
      <c r="X43" s="37"/>
      <c r="Y43" s="37"/>
      <c r="Z43" s="37"/>
      <c r="AA43" s="37"/>
      <c r="AB43" s="37"/>
      <c r="AC43" s="37"/>
      <c r="AD43" s="37"/>
      <c r="AE43" s="37"/>
      <c r="AF43" s="37"/>
      <c r="AG43" s="272"/>
      <c r="AH43" s="8"/>
      <c r="AI43" s="8"/>
      <c r="AJ43" s="8"/>
    </row>
    <row r="44" spans="1:36" ht="33" customHeight="1" x14ac:dyDescent="0.2">
      <c r="A44" s="271"/>
      <c r="B44" s="36"/>
      <c r="C44" s="1014" t="s">
        <v>387</v>
      </c>
      <c r="D44" s="1015"/>
      <c r="E44" s="1015"/>
      <c r="F44" s="1015"/>
      <c r="G44" s="1015"/>
      <c r="H44" s="1015"/>
      <c r="I44" s="1015">
        <v>2</v>
      </c>
      <c r="J44" s="1015"/>
      <c r="K44" s="1016"/>
      <c r="L44" s="27"/>
      <c r="M44" s="60"/>
      <c r="N44" s="68"/>
      <c r="O44" s="370"/>
      <c r="P44" s="36"/>
      <c r="Q44" s="264">
        <v>8</v>
      </c>
      <c r="R44" s="248">
        <f>L44*Q44</f>
        <v>0</v>
      </c>
      <c r="S44" s="36"/>
      <c r="T44" s="36"/>
      <c r="U44" s="36"/>
      <c r="V44" s="36"/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272"/>
      <c r="AH44" s="8"/>
      <c r="AI44" s="8"/>
      <c r="AJ44" s="8"/>
    </row>
    <row r="45" spans="1:36" ht="20.25" customHeight="1" x14ac:dyDescent="0.2">
      <c r="A45" s="271"/>
      <c r="B45" s="36"/>
      <c r="C45" s="1017"/>
      <c r="D45" s="1017"/>
      <c r="E45" s="1017"/>
      <c r="F45" s="1017"/>
      <c r="G45" s="1017"/>
      <c r="H45" s="1017"/>
      <c r="I45" s="1017"/>
      <c r="J45" s="129"/>
      <c r="K45" s="60"/>
      <c r="L45" s="60"/>
      <c r="M45" s="60"/>
      <c r="N45" s="36"/>
      <c r="O45" s="370"/>
      <c r="P45" s="36"/>
      <c r="Q45" s="264"/>
      <c r="R45" s="247"/>
      <c r="S45" s="36"/>
      <c r="T45" s="36"/>
      <c r="U45" s="36"/>
      <c r="V45" s="36"/>
      <c r="W45" s="36"/>
      <c r="X45" s="37"/>
      <c r="Y45" s="37"/>
      <c r="Z45" s="37"/>
      <c r="AA45" s="37"/>
      <c r="AB45" s="37"/>
      <c r="AC45" s="37"/>
      <c r="AD45" s="37"/>
      <c r="AE45" s="37"/>
      <c r="AF45" s="37"/>
      <c r="AG45" s="272"/>
      <c r="AH45" s="8"/>
      <c r="AI45" s="8"/>
      <c r="AJ45" s="8"/>
    </row>
    <row r="46" spans="1:36" ht="24.75" customHeight="1" x14ac:dyDescent="0.2">
      <c r="A46" s="271"/>
      <c r="B46" s="36"/>
      <c r="C46" s="1018" t="s">
        <v>378</v>
      </c>
      <c r="D46" s="1018"/>
      <c r="E46" s="1018"/>
      <c r="F46" s="1018"/>
      <c r="G46" s="1018"/>
      <c r="H46" s="1018"/>
      <c r="I46" s="1018"/>
      <c r="J46" s="1018" t="s">
        <v>232</v>
      </c>
      <c r="K46" s="60"/>
      <c r="L46" s="60"/>
      <c r="M46" s="543"/>
      <c r="N46" s="543"/>
      <c r="O46" s="370"/>
      <c r="P46" s="36"/>
      <c r="Q46" s="264"/>
      <c r="R46" s="247"/>
      <c r="S46" s="36"/>
      <c r="T46" s="36"/>
      <c r="U46" s="36"/>
      <c r="V46" s="36"/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272"/>
      <c r="AH46" s="8"/>
      <c r="AI46" s="8"/>
      <c r="AJ46" s="8"/>
    </row>
    <row r="47" spans="1:36" ht="18" customHeight="1" x14ac:dyDescent="0.2">
      <c r="A47" s="271"/>
      <c r="B47" s="36"/>
      <c r="C47" s="531"/>
      <c r="D47" s="531"/>
      <c r="E47" s="531"/>
      <c r="F47" s="531"/>
      <c r="G47" s="531"/>
      <c r="H47" s="531"/>
      <c r="I47" s="60"/>
      <c r="J47" s="243"/>
      <c r="K47" s="243"/>
      <c r="L47" s="40" t="s">
        <v>231</v>
      </c>
      <c r="M47" s="60"/>
      <c r="N47" s="543"/>
      <c r="O47" s="370"/>
      <c r="P47" s="36"/>
      <c r="Q47" s="264" t="s">
        <v>400</v>
      </c>
      <c r="R47" s="277" t="s">
        <v>401</v>
      </c>
      <c r="S47" s="36"/>
      <c r="T47" s="36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272"/>
      <c r="AH47" s="8"/>
      <c r="AI47" s="8"/>
      <c r="AJ47" s="8"/>
    </row>
    <row r="48" spans="1:36" ht="33" customHeight="1" x14ac:dyDescent="0.2">
      <c r="A48" s="271"/>
      <c r="B48" s="36"/>
      <c r="C48" s="1014" t="s">
        <v>388</v>
      </c>
      <c r="D48" s="1015"/>
      <c r="E48" s="1015"/>
      <c r="F48" s="1015"/>
      <c r="G48" s="1015"/>
      <c r="H48" s="1015"/>
      <c r="I48" s="1015">
        <v>0</v>
      </c>
      <c r="J48" s="1015"/>
      <c r="K48" s="1016"/>
      <c r="L48" s="27"/>
      <c r="M48" s="60"/>
      <c r="N48" s="543"/>
      <c r="O48" s="370"/>
      <c r="P48" s="36"/>
      <c r="Q48" s="264">
        <v>0</v>
      </c>
      <c r="R48" s="248">
        <f>L48*Q48</f>
        <v>0</v>
      </c>
      <c r="S48" s="36"/>
      <c r="T48" s="36"/>
      <c r="U48" s="36"/>
      <c r="V48" s="36"/>
      <c r="W48" s="36"/>
      <c r="X48" s="37"/>
      <c r="Y48" s="37"/>
      <c r="Z48" s="37"/>
      <c r="AA48" s="37"/>
      <c r="AB48" s="37"/>
      <c r="AC48" s="37"/>
      <c r="AD48" s="37"/>
      <c r="AE48" s="37"/>
      <c r="AF48" s="37"/>
      <c r="AG48" s="272"/>
      <c r="AH48" s="8"/>
      <c r="AI48" s="8"/>
      <c r="AJ48" s="8"/>
    </row>
    <row r="49" spans="1:36" ht="33" customHeight="1" x14ac:dyDescent="0.2">
      <c r="A49" s="271"/>
      <c r="B49" s="36"/>
      <c r="C49" s="1014" t="s">
        <v>389</v>
      </c>
      <c r="D49" s="1015"/>
      <c r="E49" s="1015"/>
      <c r="F49" s="1015"/>
      <c r="G49" s="1015"/>
      <c r="H49" s="1015"/>
      <c r="I49" s="1015">
        <v>2</v>
      </c>
      <c r="J49" s="1015"/>
      <c r="K49" s="1016"/>
      <c r="L49" s="27"/>
      <c r="M49" s="60"/>
      <c r="N49" s="543"/>
      <c r="O49" s="370"/>
      <c r="P49" s="36"/>
      <c r="Q49" s="264">
        <v>2</v>
      </c>
      <c r="R49" s="248">
        <f>L49*Q49</f>
        <v>0</v>
      </c>
      <c r="S49" s="36"/>
      <c r="T49" s="36"/>
      <c r="U49" s="36"/>
      <c r="V49" s="36"/>
      <c r="W49" s="36"/>
      <c r="X49" s="37"/>
      <c r="Y49" s="37"/>
      <c r="Z49" s="37"/>
      <c r="AA49" s="37"/>
      <c r="AB49" s="37"/>
      <c r="AC49" s="37"/>
      <c r="AD49" s="37"/>
      <c r="AE49" s="37"/>
      <c r="AF49" s="37"/>
      <c r="AG49" s="272"/>
      <c r="AH49" s="8"/>
      <c r="AI49" s="8"/>
      <c r="AJ49" s="8"/>
    </row>
    <row r="50" spans="1:36" ht="33" customHeight="1" x14ac:dyDescent="0.2">
      <c r="A50" s="271"/>
      <c r="B50" s="36"/>
      <c r="C50" s="1014" t="s">
        <v>390</v>
      </c>
      <c r="D50" s="1015"/>
      <c r="E50" s="1015"/>
      <c r="F50" s="1015"/>
      <c r="G50" s="1015"/>
      <c r="H50" s="1015"/>
      <c r="I50" s="1015">
        <v>4</v>
      </c>
      <c r="J50" s="1015"/>
      <c r="K50" s="1016"/>
      <c r="L50" s="27"/>
      <c r="M50" s="60"/>
      <c r="N50" s="543"/>
      <c r="O50" s="370"/>
      <c r="P50" s="36"/>
      <c r="Q50" s="264">
        <v>4</v>
      </c>
      <c r="R50" s="248">
        <f>L50*Q50</f>
        <v>0</v>
      </c>
      <c r="S50" s="36"/>
      <c r="T50" s="36"/>
      <c r="U50" s="36"/>
      <c r="V50" s="36"/>
      <c r="W50" s="36"/>
      <c r="X50" s="37"/>
      <c r="Y50" s="37"/>
      <c r="Z50" s="37"/>
      <c r="AA50" s="37"/>
      <c r="AB50" s="37"/>
      <c r="AC50" s="37"/>
      <c r="AD50" s="37"/>
      <c r="AE50" s="37"/>
      <c r="AF50" s="37"/>
      <c r="AG50" s="272"/>
      <c r="AH50" s="8"/>
      <c r="AI50" s="8"/>
      <c r="AJ50" s="8"/>
    </row>
    <row r="51" spans="1:36" ht="15" customHeight="1" thickBot="1" x14ac:dyDescent="0.25">
      <c r="A51" s="27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43"/>
      <c r="O51" s="370"/>
      <c r="P51" s="36"/>
      <c r="Q51" s="264"/>
      <c r="R51" s="54"/>
      <c r="S51" s="36"/>
      <c r="T51" s="36"/>
      <c r="U51" s="36"/>
      <c r="V51" s="36"/>
      <c r="W51" s="36"/>
      <c r="X51" s="37"/>
      <c r="Y51" s="37"/>
      <c r="Z51" s="37"/>
      <c r="AA51" s="37"/>
      <c r="AB51" s="37"/>
      <c r="AC51" s="37"/>
      <c r="AD51" s="37"/>
      <c r="AE51" s="37"/>
      <c r="AF51" s="37"/>
      <c r="AG51" s="272"/>
      <c r="AH51" s="8"/>
      <c r="AI51" s="8"/>
      <c r="AJ51" s="8"/>
    </row>
    <row r="52" spans="1:36" ht="26.1" customHeight="1" thickBot="1" x14ac:dyDescent="0.25">
      <c r="A52" s="271"/>
      <c r="B52" s="36"/>
      <c r="C52" s="1024" t="s">
        <v>391</v>
      </c>
      <c r="D52" s="1025"/>
      <c r="E52" s="1025"/>
      <c r="F52" s="1026"/>
      <c r="G52" s="1027" t="s">
        <v>398</v>
      </c>
      <c r="H52" s="1027"/>
      <c r="I52" s="1027"/>
      <c r="J52" s="1027"/>
      <c r="K52" s="1027"/>
      <c r="L52" s="466">
        <f>SUM(L42:L50)</f>
        <v>0</v>
      </c>
      <c r="M52" s="36"/>
      <c r="N52" s="543"/>
      <c r="O52" s="370"/>
      <c r="P52" s="37"/>
      <c r="Q52" s="37"/>
      <c r="R52" s="1028" t="s">
        <v>496</v>
      </c>
      <c r="S52" s="1028"/>
      <c r="T52" s="463">
        <f>SUM(R42:R50)</f>
        <v>0</v>
      </c>
      <c r="U52" s="460" t="s">
        <v>497</v>
      </c>
      <c r="V52" s="36"/>
      <c r="W52" s="36"/>
      <c r="X52" s="37"/>
      <c r="Y52" s="37"/>
      <c r="Z52" s="37"/>
      <c r="AA52" s="37"/>
      <c r="AB52" s="37"/>
      <c r="AC52" s="37"/>
      <c r="AD52" s="37"/>
      <c r="AE52" s="37"/>
      <c r="AF52" s="37"/>
      <c r="AG52" s="272"/>
      <c r="AH52" s="8"/>
      <c r="AI52" s="8"/>
      <c r="AJ52" s="8"/>
    </row>
    <row r="53" spans="1:36" ht="12.75" customHeight="1" x14ac:dyDescent="0.2">
      <c r="A53" s="27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543"/>
      <c r="O53" s="370"/>
      <c r="P53" s="36"/>
      <c r="Q53" s="264"/>
      <c r="R53" s="54"/>
      <c r="S53" s="36"/>
      <c r="T53" s="36"/>
      <c r="U53" s="36"/>
      <c r="V53" s="36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272"/>
      <c r="AH53" s="8"/>
      <c r="AI53" s="8"/>
      <c r="AJ53" s="8"/>
    </row>
    <row r="54" spans="1:36" ht="30.75" customHeight="1" x14ac:dyDescent="0.2">
      <c r="A54" s="271"/>
      <c r="B54" s="36"/>
      <c r="C54" s="885" t="s">
        <v>395</v>
      </c>
      <c r="D54" s="885"/>
      <c r="E54" s="885"/>
      <c r="F54" s="885"/>
      <c r="G54" s="885"/>
      <c r="H54" s="885"/>
      <c r="I54" s="885"/>
      <c r="J54" s="885"/>
      <c r="K54" s="885"/>
      <c r="L54" s="885"/>
      <c r="M54" s="36"/>
      <c r="N54" s="543"/>
      <c r="O54" s="370"/>
      <c r="P54" s="245" t="s">
        <v>304</v>
      </c>
      <c r="Q54" s="264"/>
      <c r="R54" s="464">
        <f>IF(L60=1,1,0)</f>
        <v>0</v>
      </c>
      <c r="S54" s="36"/>
      <c r="T54" s="36"/>
      <c r="U54" s="36"/>
      <c r="V54" s="36"/>
      <c r="W54" s="36"/>
      <c r="X54" s="37"/>
      <c r="Y54" s="37"/>
      <c r="Z54" s="37"/>
      <c r="AA54" s="37"/>
      <c r="AB54" s="37"/>
      <c r="AC54" s="37"/>
      <c r="AD54" s="37"/>
      <c r="AE54" s="37"/>
      <c r="AF54" s="37"/>
      <c r="AG54" s="272"/>
      <c r="AH54" s="8"/>
      <c r="AI54" s="8"/>
      <c r="AJ54" s="8"/>
    </row>
    <row r="55" spans="1:36" ht="13.5" customHeight="1" x14ac:dyDescent="0.2">
      <c r="A55" s="271"/>
      <c r="B55" s="36"/>
      <c r="C55" s="174"/>
      <c r="D55" s="174"/>
      <c r="E55" s="174"/>
      <c r="F55" s="174"/>
      <c r="G55" s="174"/>
      <c r="H55" s="174"/>
      <c r="I55" s="174"/>
      <c r="J55" s="129"/>
      <c r="K55" s="467"/>
      <c r="L55" s="480" t="str">
        <f>IF(L60&lt;&gt;1,"Please, describe the use of lower limbs during all the time (100% time)","")</f>
        <v>Please, describe the use of lower limbs during all the time (100% time)</v>
      </c>
      <c r="M55" s="60"/>
      <c r="N55" s="36"/>
      <c r="O55" s="370"/>
      <c r="P55" s="36"/>
      <c r="Q55" s="264"/>
      <c r="R55" s="247"/>
      <c r="S55" s="36"/>
      <c r="T55" s="36"/>
      <c r="U55" s="36"/>
      <c r="V55" s="36"/>
      <c r="W55" s="36"/>
      <c r="X55" s="37"/>
      <c r="Y55" s="37"/>
      <c r="Z55" s="37"/>
      <c r="AA55" s="37"/>
      <c r="AB55" s="37"/>
      <c r="AC55" s="37"/>
      <c r="AD55" s="37"/>
      <c r="AE55" s="37"/>
      <c r="AF55" s="37"/>
      <c r="AG55" s="272"/>
      <c r="AH55" s="8"/>
      <c r="AI55" s="8"/>
      <c r="AJ55" s="8"/>
    </row>
    <row r="56" spans="1:36" ht="18.75" customHeight="1" x14ac:dyDescent="0.2">
      <c r="A56" s="271"/>
      <c r="B56" s="36"/>
      <c r="C56" s="542"/>
      <c r="D56" s="542"/>
      <c r="E56" s="542"/>
      <c r="F56" s="542"/>
      <c r="G56" s="542"/>
      <c r="H56" s="542"/>
      <c r="I56" s="542"/>
      <c r="J56" s="542"/>
      <c r="K56" s="243"/>
      <c r="L56" s="40" t="s">
        <v>231</v>
      </c>
      <c r="M56" s="36"/>
      <c r="N56" s="543"/>
      <c r="O56" s="370"/>
      <c r="P56" s="36"/>
      <c r="Q56" s="264" t="s">
        <v>400</v>
      </c>
      <c r="R56" s="277" t="s">
        <v>401</v>
      </c>
      <c r="S56" s="36"/>
      <c r="T56" s="36"/>
      <c r="U56" s="36"/>
      <c r="V56" s="36"/>
      <c r="W56" s="36"/>
      <c r="X56" s="37"/>
      <c r="Y56" s="37"/>
      <c r="Z56" s="37"/>
      <c r="AA56" s="37"/>
      <c r="AB56" s="37"/>
      <c r="AC56" s="37"/>
      <c r="AD56" s="37"/>
      <c r="AE56" s="37"/>
      <c r="AF56" s="37"/>
      <c r="AG56" s="272"/>
      <c r="AH56" s="8"/>
      <c r="AI56" s="8"/>
      <c r="AJ56" s="8"/>
    </row>
    <row r="57" spans="1:36" ht="31.5" customHeight="1" x14ac:dyDescent="0.35">
      <c r="A57" s="271"/>
      <c r="B57" s="36"/>
      <c r="C57" s="1014" t="s">
        <v>396</v>
      </c>
      <c r="D57" s="1015"/>
      <c r="E57" s="1015"/>
      <c r="F57" s="1015"/>
      <c r="G57" s="1015"/>
      <c r="H57" s="1015"/>
      <c r="I57" s="1015"/>
      <c r="J57" s="1015"/>
      <c r="K57" s="1016"/>
      <c r="L57" s="27"/>
      <c r="M57" s="60"/>
      <c r="N57" s="543"/>
      <c r="O57" s="370"/>
      <c r="P57" s="36"/>
      <c r="Q57" s="264">
        <v>0</v>
      </c>
      <c r="R57" s="248">
        <f>L57*Q57</f>
        <v>0</v>
      </c>
      <c r="S57" s="36"/>
      <c r="T57" s="258"/>
      <c r="U57" s="249"/>
      <c r="V57" s="36"/>
      <c r="W57" s="36"/>
      <c r="X57" s="37"/>
      <c r="Y57" s="37"/>
      <c r="Z57" s="37"/>
      <c r="AA57" s="37"/>
      <c r="AB57" s="37"/>
      <c r="AC57" s="37"/>
      <c r="AD57" s="37"/>
      <c r="AE57" s="37"/>
      <c r="AF57" s="37"/>
      <c r="AG57" s="272"/>
      <c r="AH57" s="8"/>
      <c r="AI57" s="8"/>
      <c r="AJ57" s="8"/>
    </row>
    <row r="58" spans="1:36" ht="31.5" customHeight="1" x14ac:dyDescent="0.35">
      <c r="A58" s="271"/>
      <c r="B58" s="36"/>
      <c r="C58" s="1014" t="s">
        <v>392</v>
      </c>
      <c r="D58" s="1015"/>
      <c r="E58" s="1015"/>
      <c r="F58" s="1015"/>
      <c r="G58" s="1015"/>
      <c r="H58" s="1015"/>
      <c r="I58" s="1015">
        <v>4</v>
      </c>
      <c r="J58" s="1015"/>
      <c r="K58" s="1016"/>
      <c r="L58" s="27"/>
      <c r="M58" s="60"/>
      <c r="N58" s="543"/>
      <c r="O58" s="370"/>
      <c r="P58" s="36"/>
      <c r="Q58" s="264">
        <v>3</v>
      </c>
      <c r="R58" s="248">
        <f>L58*Q58</f>
        <v>0</v>
      </c>
      <c r="S58" s="36"/>
      <c r="T58" s="258"/>
      <c r="U58" s="249"/>
      <c r="V58" s="259" t="s">
        <v>404</v>
      </c>
      <c r="W58" s="248">
        <f>IF(R54+R38+R19=3,1,0)</f>
        <v>0</v>
      </c>
      <c r="X58" s="37"/>
      <c r="Y58" s="37"/>
      <c r="Z58" s="37"/>
      <c r="AA58" s="37"/>
      <c r="AB58" s="37"/>
      <c r="AC58" s="37"/>
      <c r="AD58" s="37"/>
      <c r="AE58" s="37"/>
      <c r="AF58" s="37"/>
      <c r="AG58" s="272"/>
      <c r="AH58" s="8"/>
      <c r="AI58" s="8"/>
      <c r="AJ58" s="8"/>
    </row>
    <row r="59" spans="1:36" ht="25.5" x14ac:dyDescent="0.35">
      <c r="A59" s="271"/>
      <c r="B59" s="36"/>
      <c r="C59" s="244"/>
      <c r="D59" s="244"/>
      <c r="E59" s="244"/>
      <c r="F59" s="244"/>
      <c r="G59" s="244"/>
      <c r="H59" s="244"/>
      <c r="I59" s="60"/>
      <c r="J59" s="244"/>
      <c r="K59" s="67"/>
      <c r="L59" s="67"/>
      <c r="M59" s="60"/>
      <c r="N59" s="36"/>
      <c r="O59" s="370"/>
      <c r="P59" s="36"/>
      <c r="Q59" s="264"/>
      <c r="R59" s="36"/>
      <c r="S59" s="36"/>
      <c r="T59" s="258"/>
      <c r="U59" s="249"/>
      <c r="V59" s="258"/>
      <c r="W59" s="36"/>
      <c r="X59" s="37"/>
      <c r="Y59" s="37"/>
      <c r="Z59" s="37"/>
      <c r="AA59" s="37"/>
      <c r="AB59" s="37"/>
      <c r="AC59" s="37"/>
      <c r="AD59" s="37"/>
      <c r="AE59" s="37"/>
      <c r="AF59" s="37"/>
      <c r="AG59" s="272"/>
      <c r="AH59" s="8"/>
      <c r="AI59" s="8"/>
      <c r="AJ59" s="8"/>
    </row>
    <row r="60" spans="1:36" ht="26.1" customHeight="1" thickBot="1" x14ac:dyDescent="0.4">
      <c r="A60" s="271"/>
      <c r="B60" s="36"/>
      <c r="C60" s="1024" t="s">
        <v>391</v>
      </c>
      <c r="D60" s="1025"/>
      <c r="E60" s="1025"/>
      <c r="F60" s="1026"/>
      <c r="G60" s="1027" t="s">
        <v>399</v>
      </c>
      <c r="H60" s="1027"/>
      <c r="I60" s="1027"/>
      <c r="J60" s="1027"/>
      <c r="K60" s="1027"/>
      <c r="L60" s="466">
        <f>SUM(L57:L58)</f>
        <v>0</v>
      </c>
      <c r="M60" s="60"/>
      <c r="N60" s="36"/>
      <c r="O60" s="370"/>
      <c r="P60" s="36"/>
      <c r="Q60" s="264"/>
      <c r="R60" s="36"/>
      <c r="S60" s="36"/>
      <c r="T60" s="258"/>
      <c r="U60" s="249"/>
      <c r="V60" s="525" t="s">
        <v>403</v>
      </c>
      <c r="W60" s="465">
        <f>SUM(T36:T61)</f>
        <v>0</v>
      </c>
      <c r="X60" s="37"/>
      <c r="Y60" s="37"/>
      <c r="Z60" s="37"/>
      <c r="AA60" s="37"/>
      <c r="AB60" s="37"/>
      <c r="AC60" s="37"/>
      <c r="AD60" s="37"/>
      <c r="AE60" s="37"/>
      <c r="AF60" s="37"/>
      <c r="AG60" s="272"/>
      <c r="AH60" s="8"/>
      <c r="AI60" s="8"/>
      <c r="AJ60" s="8"/>
    </row>
    <row r="61" spans="1:36" ht="19.5" customHeight="1" thickBot="1" x14ac:dyDescent="0.4">
      <c r="A61" s="271"/>
      <c r="B61" s="36"/>
      <c r="C61" s="244"/>
      <c r="D61" s="244"/>
      <c r="E61" s="244"/>
      <c r="F61" s="244"/>
      <c r="G61" s="244"/>
      <c r="H61" s="244"/>
      <c r="I61" s="244"/>
      <c r="J61" s="244"/>
      <c r="K61" s="67"/>
      <c r="L61" s="67"/>
      <c r="M61" s="60"/>
      <c r="N61" s="36"/>
      <c r="O61" s="370"/>
      <c r="P61" s="37"/>
      <c r="Q61" s="37"/>
      <c r="R61" s="1028" t="s">
        <v>498</v>
      </c>
      <c r="S61" s="1029"/>
      <c r="T61" s="462">
        <f>SUM(R57:R58)</f>
        <v>0</v>
      </c>
      <c r="U61" s="249"/>
      <c r="V61" s="257" t="s">
        <v>371</v>
      </c>
      <c r="W61" s="261">
        <f>IF(W60/8&gt;1,1,W60/8)</f>
        <v>0</v>
      </c>
      <c r="X61" s="37"/>
      <c r="Y61" s="37"/>
      <c r="Z61" s="37"/>
      <c r="AA61" s="37"/>
      <c r="AB61" s="37"/>
      <c r="AC61" s="37"/>
      <c r="AD61" s="37"/>
      <c r="AE61" s="37"/>
      <c r="AF61" s="37"/>
      <c r="AG61" s="272"/>
      <c r="AH61" s="8"/>
      <c r="AI61" s="8"/>
      <c r="AJ61" s="8"/>
    </row>
    <row r="62" spans="1:36" ht="14.1" customHeight="1" x14ac:dyDescent="0.2">
      <c r="A62" s="341"/>
      <c r="B62" s="36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36"/>
      <c r="N62" s="36"/>
      <c r="O62" s="370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72"/>
    </row>
    <row r="63" spans="1:36" ht="20.25" customHeight="1" x14ac:dyDescent="0.6">
      <c r="A63" s="341"/>
      <c r="B63" s="54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0"/>
      <c r="P63" s="37"/>
      <c r="Q63" s="545"/>
      <c r="R63" s="545"/>
      <c r="S63" s="36"/>
      <c r="T63" s="546"/>
      <c r="U63" s="547"/>
      <c r="V63" s="36"/>
      <c r="W63" s="40"/>
      <c r="X63" s="37"/>
      <c r="Y63" s="37"/>
      <c r="Z63" s="37"/>
      <c r="AA63" s="37"/>
      <c r="AB63" s="37"/>
      <c r="AC63" s="37"/>
      <c r="AD63" s="37"/>
      <c r="AE63" s="37"/>
      <c r="AF63" s="37"/>
      <c r="AG63" s="272"/>
    </row>
    <row r="64" spans="1:36" ht="12" customHeight="1" x14ac:dyDescent="0.2">
      <c r="A64" s="341"/>
      <c r="B64" s="1021" t="s">
        <v>19</v>
      </c>
      <c r="C64" s="910" t="s">
        <v>515</v>
      </c>
      <c r="D64" s="910"/>
      <c r="E64" s="910"/>
      <c r="F64" s="910"/>
      <c r="G64" s="910"/>
      <c r="H64" s="910"/>
      <c r="I64" s="910"/>
      <c r="J64" s="910"/>
      <c r="K64" s="910"/>
      <c r="L64" s="910"/>
      <c r="M64" s="36"/>
      <c r="N64" s="36"/>
      <c r="O64" s="370"/>
      <c r="P64" s="37"/>
      <c r="Q64" s="37"/>
      <c r="R64" s="37"/>
      <c r="S64" s="37"/>
      <c r="T64" s="548" t="s">
        <v>435</v>
      </c>
      <c r="U64" s="549" t="s">
        <v>434</v>
      </c>
      <c r="V64" s="467" t="s">
        <v>436</v>
      </c>
      <c r="W64" s="37"/>
      <c r="X64" s="37"/>
      <c r="Y64" s="37"/>
      <c r="Z64" s="37"/>
      <c r="AA64" s="37"/>
      <c r="AB64" s="549" t="s">
        <v>330</v>
      </c>
      <c r="AC64" s="467" t="s">
        <v>435</v>
      </c>
      <c r="AD64" s="37"/>
      <c r="AE64" s="467" t="s">
        <v>436</v>
      </c>
      <c r="AF64" s="37"/>
      <c r="AG64" s="272"/>
    </row>
    <row r="65" spans="1:40" ht="12" customHeight="1" x14ac:dyDescent="0.2">
      <c r="A65" s="341"/>
      <c r="B65" s="1021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36"/>
      <c r="N65" s="36"/>
      <c r="O65" s="370"/>
      <c r="P65" s="37"/>
      <c r="Q65" s="37"/>
      <c r="R65" s="37"/>
      <c r="S65" s="37"/>
      <c r="T65" s="37">
        <v>1</v>
      </c>
      <c r="U65" s="548" t="s">
        <v>424</v>
      </c>
      <c r="V65" s="550" t="s">
        <v>440</v>
      </c>
      <c r="W65" s="551"/>
      <c r="X65" s="551"/>
      <c r="Y65" s="551"/>
      <c r="Z65" s="551"/>
      <c r="AA65" s="551"/>
      <c r="AB65" s="552">
        <v>0</v>
      </c>
      <c r="AC65" s="551">
        <v>1</v>
      </c>
      <c r="AD65" s="550" t="s">
        <v>426</v>
      </c>
      <c r="AE65" s="550" t="s">
        <v>444</v>
      </c>
      <c r="AF65" s="37"/>
      <c r="AG65" s="272"/>
    </row>
    <row r="66" spans="1:40" ht="12" customHeight="1" x14ac:dyDescent="0.2">
      <c r="A66" s="341"/>
      <c r="B66" s="1021"/>
      <c r="C66" s="910"/>
      <c r="D66" s="910"/>
      <c r="E66" s="910"/>
      <c r="F66" s="910"/>
      <c r="G66" s="910"/>
      <c r="H66" s="910"/>
      <c r="I66" s="910"/>
      <c r="J66" s="910"/>
      <c r="K66" s="910"/>
      <c r="L66" s="910"/>
      <c r="M66" s="36"/>
      <c r="N66" s="36"/>
      <c r="O66" s="370"/>
      <c r="P66" s="37"/>
      <c r="Q66" s="37"/>
      <c r="R66" s="37"/>
      <c r="S66" s="37"/>
      <c r="T66" s="37">
        <v>2</v>
      </c>
      <c r="U66" s="548" t="s">
        <v>425</v>
      </c>
      <c r="V66" s="550" t="s">
        <v>441</v>
      </c>
      <c r="W66" s="551"/>
      <c r="X66" s="551"/>
      <c r="Y66" s="551"/>
      <c r="Z66" s="551"/>
      <c r="AA66" s="551"/>
      <c r="AB66" s="552">
        <v>0.31</v>
      </c>
      <c r="AC66" s="551">
        <v>2</v>
      </c>
      <c r="AD66" s="550" t="s">
        <v>431</v>
      </c>
      <c r="AE66" s="550" t="s">
        <v>445</v>
      </c>
      <c r="AF66" s="37"/>
      <c r="AG66" s="272"/>
    </row>
    <row r="67" spans="1:40" ht="31.5" customHeight="1" x14ac:dyDescent="0.2">
      <c r="A67" s="341"/>
      <c r="B67" s="36"/>
      <c r="C67" s="1022" t="s">
        <v>64</v>
      </c>
      <c r="D67" s="862" t="str">
        <f>LOOKUP(R67,$T$65:$T$69,$V$65:$V$69)</f>
        <v>Please, answer the questions.</v>
      </c>
      <c r="E67" s="862"/>
      <c r="F67" s="862"/>
      <c r="G67" s="862"/>
      <c r="H67" s="862"/>
      <c r="I67" s="862"/>
      <c r="J67" s="863"/>
      <c r="K67" s="36"/>
      <c r="L67" s="36"/>
      <c r="M67" s="36"/>
      <c r="N67" s="36"/>
      <c r="O67" s="370"/>
      <c r="P67" s="37"/>
      <c r="Q67" s="453" t="s">
        <v>437</v>
      </c>
      <c r="R67" s="255">
        <f>IF(P15=0,1,IF(W58=0,2,IF(W61=0,3,IF(W61=1,4,5))))</f>
        <v>2</v>
      </c>
      <c r="S67" s="37"/>
      <c r="T67" s="37">
        <v>3</v>
      </c>
      <c r="U67" s="548" t="s">
        <v>427</v>
      </c>
      <c r="V67" s="550" t="s">
        <v>428</v>
      </c>
      <c r="W67" s="551"/>
      <c r="X67" s="551"/>
      <c r="Y67" s="551"/>
      <c r="Z67" s="551"/>
      <c r="AA67" s="551"/>
      <c r="AB67" s="552">
        <v>0.5</v>
      </c>
      <c r="AC67" s="551">
        <v>3</v>
      </c>
      <c r="AD67" s="550" t="s">
        <v>432</v>
      </c>
      <c r="AE67" s="550" t="s">
        <v>446</v>
      </c>
      <c r="AF67" s="37"/>
      <c r="AG67" s="272"/>
    </row>
    <row r="68" spans="1:40" ht="31.5" customHeight="1" x14ac:dyDescent="0.2">
      <c r="A68" s="341"/>
      <c r="B68" s="36"/>
      <c r="C68" s="1023"/>
      <c r="D68" s="864" t="str">
        <f>IF(R68="","",LOOKUP(R68,$AC$65:$AC$68,$AE$65:$AE$68))</f>
        <v>To consider but long term.</v>
      </c>
      <c r="E68" s="864"/>
      <c r="F68" s="864"/>
      <c r="G68" s="864"/>
      <c r="H68" s="864"/>
      <c r="I68" s="864"/>
      <c r="J68" s="865"/>
      <c r="K68" s="36"/>
      <c r="L68" s="36"/>
      <c r="M68" s="36"/>
      <c r="N68" s="36"/>
      <c r="O68" s="370"/>
      <c r="P68" s="37"/>
      <c r="Q68" s="453" t="s">
        <v>438</v>
      </c>
      <c r="R68" s="255">
        <f>IF(W61="","",VLOOKUP(W61,$AB$65:$AC$68,2,TRUE))</f>
        <v>1</v>
      </c>
      <c r="S68" s="37"/>
      <c r="T68" s="37">
        <v>4</v>
      </c>
      <c r="U68" s="548" t="s">
        <v>429</v>
      </c>
      <c r="V68" s="550" t="s">
        <v>516</v>
      </c>
      <c r="W68" s="551"/>
      <c r="X68" s="551"/>
      <c r="Y68" s="551"/>
      <c r="Z68" s="551"/>
      <c r="AA68" s="551"/>
      <c r="AB68" s="552">
        <v>0.8</v>
      </c>
      <c r="AC68" s="551">
        <v>4</v>
      </c>
      <c r="AD68" s="550" t="s">
        <v>433</v>
      </c>
      <c r="AE68" s="550" t="s">
        <v>447</v>
      </c>
      <c r="AF68" s="37"/>
      <c r="AG68" s="272"/>
    </row>
    <row r="69" spans="1:40" ht="22.5" customHeight="1" thickBot="1" x14ac:dyDescent="0.25">
      <c r="A69" s="448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50"/>
      <c r="P69" s="553"/>
      <c r="Q69" s="86"/>
      <c r="R69" s="86"/>
      <c r="S69" s="86"/>
      <c r="T69" s="86">
        <v>5</v>
      </c>
      <c r="U69" s="549" t="s">
        <v>430</v>
      </c>
      <c r="V69" s="554" t="s">
        <v>442</v>
      </c>
      <c r="W69" s="555"/>
      <c r="X69" s="555"/>
      <c r="Y69" s="555"/>
      <c r="Z69" s="555"/>
      <c r="AA69" s="555"/>
      <c r="AB69" s="555"/>
      <c r="AC69" s="555"/>
      <c r="AD69" s="555"/>
      <c r="AE69" s="555"/>
      <c r="AF69" s="86"/>
      <c r="AG69" s="280"/>
    </row>
    <row r="70" spans="1:40" ht="12.75" hidden="1" customHeight="1" x14ac:dyDescent="0.2">
      <c r="A70" s="556"/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372"/>
      <c r="O70" s="372"/>
      <c r="AM70" s="372"/>
      <c r="AN70" s="372"/>
    </row>
    <row r="71" spans="1:40" ht="31.5" hidden="1" customHeight="1" x14ac:dyDescent="0.2">
      <c r="A71" s="556"/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372"/>
      <c r="O71" s="372"/>
      <c r="AM71" s="372"/>
      <c r="AN71" s="372"/>
    </row>
    <row r="72" spans="1:40" ht="12.75" hidden="1" customHeight="1" x14ac:dyDescent="0.2">
      <c r="A72" s="556"/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</row>
    <row r="73" spans="1:40" hidden="1" x14ac:dyDescent="0.2">
      <c r="A73" s="556"/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</row>
    <row r="74" spans="1:40" ht="12.75" hidden="1" customHeight="1" x14ac:dyDescent="0.2">
      <c r="A74" s="556"/>
      <c r="B74" s="556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</row>
    <row r="75" spans="1:40" ht="12.75" hidden="1" customHeight="1" x14ac:dyDescent="0.2">
      <c r="A75" s="556"/>
      <c r="B75" s="556"/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</row>
    <row r="76" spans="1:40" ht="12.75" hidden="1" customHeight="1" x14ac:dyDescent="0.2">
      <c r="A76" s="556"/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</row>
    <row r="77" spans="1:40" ht="36.75" hidden="1" customHeight="1" x14ac:dyDescent="0.2">
      <c r="A77" s="556"/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</row>
    <row r="78" spans="1:40" ht="32.25" hidden="1" customHeight="1" x14ac:dyDescent="0.2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</row>
    <row r="79" spans="1:40" hidden="1" x14ac:dyDescent="0.2">
      <c r="A79" s="556"/>
      <c r="B79" s="556"/>
      <c r="M79" s="556"/>
      <c r="N79" s="556"/>
    </row>
  </sheetData>
  <sheetProtection password="BD29" sheet="1" objects="1" scenarios="1"/>
  <mergeCells count="55">
    <mergeCell ref="C60:F60"/>
    <mergeCell ref="G60:K60"/>
    <mergeCell ref="R61:S61"/>
    <mergeCell ref="C52:F52"/>
    <mergeCell ref="G52:K52"/>
    <mergeCell ref="R52:S52"/>
    <mergeCell ref="C54:L54"/>
    <mergeCell ref="C57:K57"/>
    <mergeCell ref="C58:K58"/>
    <mergeCell ref="C50:K50"/>
    <mergeCell ref="R36:S36"/>
    <mergeCell ref="C38:L38"/>
    <mergeCell ref="K39:L40"/>
    <mergeCell ref="C40:J40"/>
    <mergeCell ref="C42:K42"/>
    <mergeCell ref="C43:K43"/>
    <mergeCell ref="C44:K44"/>
    <mergeCell ref="C45:I45"/>
    <mergeCell ref="C46:J46"/>
    <mergeCell ref="C48:K48"/>
    <mergeCell ref="C49:K49"/>
    <mergeCell ref="C31:K31"/>
    <mergeCell ref="C32:K32"/>
    <mergeCell ref="C33:K33"/>
    <mergeCell ref="C34:K34"/>
    <mergeCell ref="C36:F36"/>
    <mergeCell ref="G36:K36"/>
    <mergeCell ref="B64:B66"/>
    <mergeCell ref="C64:L66"/>
    <mergeCell ref="C67:C68"/>
    <mergeCell ref="D67:J67"/>
    <mergeCell ref="D68:J68"/>
    <mergeCell ref="C25:K25"/>
    <mergeCell ref="C26:K26"/>
    <mergeCell ref="C28:I28"/>
    <mergeCell ref="C29:J29"/>
    <mergeCell ref="B9:N9"/>
    <mergeCell ref="B11:B13"/>
    <mergeCell ref="C11:N13"/>
    <mergeCell ref="C15:L16"/>
    <mergeCell ref="N15:N16"/>
    <mergeCell ref="C17:L17"/>
    <mergeCell ref="C19:L19"/>
    <mergeCell ref="K20:L21"/>
    <mergeCell ref="C21:J21"/>
    <mergeCell ref="C23:K23"/>
    <mergeCell ref="C24:K24"/>
    <mergeCell ref="B6:C6"/>
    <mergeCell ref="D6:F6"/>
    <mergeCell ref="H6:I7"/>
    <mergeCell ref="B2:N2"/>
    <mergeCell ref="B4:C4"/>
    <mergeCell ref="D4:F4"/>
    <mergeCell ref="H4:I4"/>
    <mergeCell ref="J4:N4"/>
  </mergeCells>
  <conditionalFormatting sqref="N15:N16">
    <cfRule type="expression" dxfId="63" priority="66">
      <formula>N15="YES"</formula>
    </cfRule>
  </conditionalFormatting>
  <conditionalFormatting sqref="D67:J68">
    <cfRule type="expression" dxfId="62" priority="27" stopIfTrue="1">
      <formula>$R$68=4</formula>
    </cfRule>
    <cfRule type="expression" dxfId="61" priority="28" stopIfTrue="1">
      <formula>$R$68=3</formula>
    </cfRule>
    <cfRule type="expression" dxfId="60" priority="29" stopIfTrue="1">
      <formula>$R$68=2</formula>
    </cfRule>
    <cfRule type="expression" dxfId="59" priority="30" stopIfTrue="1">
      <formula>$R$68=1</formula>
    </cfRule>
  </conditionalFormatting>
  <pageMargins left="0.32" right="0.16" top="0.34" bottom="0.46" header="0.32" footer="0.37"/>
  <pageSetup paperSize="9" scale="47" orientation="portrait" horizontalDpi="300" verticalDpi="300" r:id="rId1"/>
  <headerFooter alignWithMargins="0"/>
  <ignoredErrors>
    <ignoredError sqref="D68:J68 E67:J67" evalError="1"/>
  </ignoredErrors>
  <drawing r:id="rId2"/>
  <legacyDrawing r:id="rId3"/>
  <oleObjects>
    <mc:AlternateContent xmlns:mc="http://schemas.openxmlformats.org/markup-compatibility/2006">
      <mc:Choice Requires="x14">
        <oleObject progId="MS_ClipArt_Gallery" shapeId="109569" r:id="rId4">
          <objectPr defaultSize="0" autoPict="0" r:id="rId5">
            <anchor moveWithCells="1" sizeWithCells="1">
              <from>
                <xdr:col>13</xdr:col>
                <xdr:colOff>104775</xdr:colOff>
                <xdr:row>69</xdr:row>
                <xdr:rowOff>0</xdr:rowOff>
              </from>
              <to>
                <xdr:col>14</xdr:col>
                <xdr:colOff>0</xdr:colOff>
                <xdr:row>69</xdr:row>
                <xdr:rowOff>0</xdr:rowOff>
              </to>
            </anchor>
          </objectPr>
        </oleObject>
      </mc:Choice>
      <mc:Fallback>
        <oleObject progId="MS_ClipArt_Gallery" shapeId="10956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2"/>
  <sheetViews>
    <sheetView topLeftCell="A21" zoomScale="33" zoomScaleNormal="33" workbookViewId="0">
      <selection activeCell="K42" sqref="K42:K43"/>
    </sheetView>
  </sheetViews>
  <sheetFormatPr defaultColWidth="0" defaultRowHeight="12.75" zeroHeight="1" x14ac:dyDescent="0.2"/>
  <cols>
    <col min="1" max="1" width="2.28515625" customWidth="1"/>
    <col min="2" max="2" width="14.28515625" customWidth="1"/>
    <col min="3" max="3" width="51" customWidth="1"/>
    <col min="4" max="8" width="14.140625" customWidth="1"/>
    <col min="9" max="9" width="22.42578125" customWidth="1"/>
    <col min="10" max="13" width="14.140625" customWidth="1"/>
    <col min="14" max="14" width="20.42578125" customWidth="1"/>
    <col min="15" max="16" width="14.140625" customWidth="1"/>
    <col min="17" max="17" width="20.7109375" customWidth="1"/>
    <col min="18" max="21" width="14.140625" customWidth="1"/>
    <col min="22" max="22" width="61.5703125" customWidth="1"/>
    <col min="23" max="23" width="10.140625" customWidth="1"/>
    <col min="24" max="24" width="20.140625" customWidth="1"/>
    <col min="25" max="25" width="13" hidden="1" customWidth="1"/>
    <col min="26" max="26" width="16.140625" customWidth="1"/>
    <col min="27" max="27" width="13" hidden="1" customWidth="1"/>
    <col min="28" max="28" width="9.5703125" customWidth="1"/>
    <col min="29" max="29" width="9.7109375" customWidth="1"/>
    <col min="30" max="30" width="11.140625" customWidth="1"/>
    <col min="31" max="31" width="8.85546875" customWidth="1"/>
    <col min="32" max="38" width="8.85546875" hidden="1" customWidth="1"/>
    <col min="39" max="39" width="10.7109375" hidden="1" customWidth="1"/>
    <col min="40" max="42" width="8.85546875" hidden="1" customWidth="1"/>
    <col min="43" max="43" width="12.7109375" hidden="1" customWidth="1"/>
    <col min="44" max="47" width="8.85546875" hidden="1" customWidth="1"/>
    <col min="48" max="48" width="12.85546875" hidden="1" customWidth="1"/>
    <col min="49" max="51" width="8.85546875" hidden="1" customWidth="1"/>
    <col min="52" max="52" width="51.28515625" hidden="1" customWidth="1"/>
    <col min="53" max="53" width="10.7109375" hidden="1" customWidth="1"/>
    <col min="54" max="54" width="8.85546875" hidden="1" customWidth="1"/>
    <col min="55" max="55" width="37.28515625" hidden="1" customWidth="1"/>
    <col min="56" max="56" width="12.85546875" hidden="1" customWidth="1"/>
    <col min="57" max="67" width="8.85546875" hidden="1" customWidth="1"/>
    <col min="68" max="16384" width="8.85546875" hidden="1"/>
  </cols>
  <sheetData>
    <row r="1" spans="1:67" ht="21.75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16"/>
    </row>
    <row r="2" spans="1:67" ht="134.25" customHeight="1" x14ac:dyDescent="0.2">
      <c r="A2" s="112"/>
      <c r="B2" s="1036" t="s">
        <v>507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498"/>
      <c r="AF2" s="132"/>
      <c r="AG2" s="132"/>
    </row>
    <row r="3" spans="1:67" x14ac:dyDescent="0.2">
      <c r="A3" s="132"/>
      <c r="B3" s="49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500"/>
    </row>
    <row r="4" spans="1:67" ht="27" customHeight="1" x14ac:dyDescent="0.35">
      <c r="A4" s="112"/>
      <c r="B4" s="1038" t="s">
        <v>66</v>
      </c>
      <c r="C4" s="1039"/>
      <c r="D4" s="1040" t="str">
        <f>IF('HAZARDS-GEN'!D11="","",'HAZARDS-GEN'!D11)</f>
        <v>xxxxxxxx</v>
      </c>
      <c r="E4" s="1041"/>
      <c r="F4" s="1042"/>
      <c r="G4" s="29"/>
      <c r="H4" s="29"/>
      <c r="I4" s="29"/>
      <c r="J4" s="29"/>
      <c r="K4" s="29"/>
      <c r="L4" s="29"/>
      <c r="M4" s="29"/>
      <c r="N4" s="29"/>
      <c r="O4" s="29"/>
      <c r="P4" s="217"/>
      <c r="Q4" s="217"/>
      <c r="R4" s="217"/>
      <c r="S4" s="29"/>
      <c r="T4" s="29"/>
      <c r="U4" s="29"/>
      <c r="V4" s="491"/>
      <c r="W4" s="1043" t="s">
        <v>59</v>
      </c>
      <c r="X4" s="1043"/>
      <c r="Y4" s="1047" t="str">
        <f>IF('HAZARDS-GEN'!$J$11="","",'HAZARDS-GEN'!$J$11)</f>
        <v>xxxxxxxxxxxx</v>
      </c>
      <c r="Z4" s="1048"/>
      <c r="AA4" s="1048"/>
      <c r="AB4" s="1048"/>
      <c r="AC4" s="1048"/>
      <c r="AD4" s="1048"/>
      <c r="AE4" s="500"/>
    </row>
    <row r="5" spans="1:67" ht="26.25" customHeight="1" x14ac:dyDescent="0.35">
      <c r="A5" s="112"/>
      <c r="B5" s="501"/>
      <c r="C5" s="492"/>
      <c r="D5" s="493"/>
      <c r="E5" s="493"/>
      <c r="F5" s="493"/>
      <c r="G5" s="35"/>
      <c r="H5" s="29"/>
      <c r="I5" s="29"/>
      <c r="J5" s="29"/>
      <c r="K5" s="29"/>
      <c r="L5" s="29"/>
      <c r="M5" s="29"/>
      <c r="N5" s="29"/>
      <c r="O5" s="29"/>
      <c r="P5" s="99"/>
      <c r="Q5" s="218"/>
      <c r="R5" s="99"/>
      <c r="S5" s="29"/>
      <c r="T5" s="29"/>
      <c r="U5" s="29"/>
      <c r="V5" s="491"/>
      <c r="W5" s="494"/>
      <c r="X5" s="494"/>
      <c r="Y5" s="493"/>
      <c r="Z5" s="495"/>
      <c r="AA5" s="495"/>
      <c r="AB5" s="496"/>
      <c r="AC5" s="496"/>
      <c r="AD5" s="491"/>
      <c r="AE5" s="502"/>
    </row>
    <row r="6" spans="1:67" ht="52.5" customHeight="1" x14ac:dyDescent="0.2">
      <c r="A6" s="112"/>
      <c r="B6" s="1044" t="s">
        <v>112</v>
      </c>
      <c r="C6" s="1045"/>
      <c r="D6" s="1040" t="str">
        <f>IF('HAZARDS-GEN'!D13="","",'HAZARDS-GEN'!D13)</f>
        <v>xxxxxxxxxxxx</v>
      </c>
      <c r="E6" s="1041"/>
      <c r="F6" s="104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1046" t="s">
        <v>287</v>
      </c>
      <c r="W6" s="1046"/>
      <c r="X6" s="497" t="s">
        <v>243</v>
      </c>
      <c r="Y6" s="497" t="s">
        <v>243</v>
      </c>
      <c r="Z6" s="1049" t="str">
        <f>IF('HAZARDS-GEN'!K13="","",'HAZARDS-GEN'!K13)</f>
        <v/>
      </c>
      <c r="AA6" s="1050"/>
      <c r="AB6" s="1050"/>
      <c r="AC6" s="1050"/>
      <c r="AD6" s="1051"/>
      <c r="AE6" s="503"/>
      <c r="BO6" s="312"/>
    </row>
    <row r="7" spans="1:67" ht="28.5" customHeight="1" x14ac:dyDescent="0.2">
      <c r="A7" s="112"/>
      <c r="B7" s="499"/>
      <c r="C7" s="31"/>
      <c r="D7" s="30"/>
      <c r="E7" s="30"/>
      <c r="F7" s="30"/>
      <c r="G7" s="101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046"/>
      <c r="W7" s="1046"/>
      <c r="X7" s="497" t="s">
        <v>244</v>
      </c>
      <c r="Y7" s="497" t="s">
        <v>244</v>
      </c>
      <c r="Z7" s="1049" t="str">
        <f>IF('HAZARDS-GEN'!K14="","",'HAZARDS-GEN'!K14)</f>
        <v/>
      </c>
      <c r="AA7" s="1050"/>
      <c r="AB7" s="1050"/>
      <c r="AC7" s="1050"/>
      <c r="AD7" s="1051"/>
      <c r="AE7" s="503"/>
    </row>
    <row r="8" spans="1:67" s="12" customFormat="1" ht="16.5" customHeight="1" x14ac:dyDescent="0.2">
      <c r="A8" s="132"/>
      <c r="B8" s="504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31"/>
      <c r="S8" s="31"/>
      <c r="T8" s="102"/>
      <c r="U8" s="54"/>
      <c r="V8" s="54"/>
      <c r="W8" s="29"/>
      <c r="X8" s="29"/>
      <c r="Y8" s="29"/>
      <c r="Z8" s="29"/>
      <c r="AA8" s="29"/>
      <c r="AB8" s="29"/>
      <c r="AC8" s="29"/>
      <c r="AD8" s="29"/>
      <c r="AE8" s="503"/>
    </row>
    <row r="9" spans="1:67" s="2" customFormat="1" ht="51" customHeight="1" x14ac:dyDescent="0.2">
      <c r="A9" s="112"/>
      <c r="B9" s="987" t="s">
        <v>449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988"/>
      <c r="Y9" s="988"/>
      <c r="Z9" s="988"/>
      <c r="AA9" s="988"/>
      <c r="AB9" s="988"/>
      <c r="AC9" s="989"/>
      <c r="AD9" s="29"/>
      <c r="AE9" s="503"/>
      <c r="AF9" s="132"/>
      <c r="AG9" s="132"/>
    </row>
    <row r="10" spans="1:67" ht="23.25" customHeight="1" x14ac:dyDescent="0.2">
      <c r="A10" s="132"/>
      <c r="B10" s="504"/>
      <c r="C10" s="313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29"/>
      <c r="AC10" s="29"/>
      <c r="AD10" s="29"/>
      <c r="AE10" s="503"/>
    </row>
    <row r="11" spans="1:67" ht="23.25" customHeight="1" x14ac:dyDescent="0.45">
      <c r="A11" s="12"/>
      <c r="B11" s="504"/>
      <c r="C11" s="313"/>
      <c r="D11" s="1054" t="s">
        <v>72</v>
      </c>
      <c r="E11" s="1055"/>
      <c r="F11" s="1055"/>
      <c r="G11" s="1055"/>
      <c r="H11" s="1055"/>
      <c r="I11" s="1055"/>
      <c r="J11" s="1055"/>
      <c r="K11" s="1056"/>
      <c r="L11" s="487" t="s">
        <v>60</v>
      </c>
      <c r="M11" s="487" t="str">
        <f>IF($AV$47&gt;0,"X","")</f>
        <v/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29"/>
      <c r="AC11" s="29"/>
      <c r="AD11" s="29"/>
      <c r="AE11" s="503"/>
    </row>
    <row r="12" spans="1:67" ht="23.25" customHeight="1" x14ac:dyDescent="0.45">
      <c r="A12" s="12"/>
      <c r="B12" s="504"/>
      <c r="C12" s="313"/>
      <c r="D12" s="1055"/>
      <c r="E12" s="1055"/>
      <c r="F12" s="1055"/>
      <c r="G12" s="1055"/>
      <c r="H12" s="1055"/>
      <c r="I12" s="1055"/>
      <c r="J12" s="1055"/>
      <c r="K12" s="1056"/>
      <c r="L12" s="488" t="s">
        <v>15</v>
      </c>
      <c r="M12" s="48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29"/>
      <c r="AC12" s="29"/>
      <c r="AD12" s="29"/>
      <c r="AE12" s="503"/>
    </row>
    <row r="13" spans="1:67" ht="23.25" customHeight="1" x14ac:dyDescent="0.2">
      <c r="A13" s="12"/>
      <c r="B13" s="505"/>
      <c r="C13" s="506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8"/>
      <c r="Y13" s="508"/>
      <c r="Z13" s="509"/>
      <c r="AA13" s="509"/>
      <c r="AB13" s="509"/>
      <c r="AC13" s="509"/>
      <c r="AD13" s="509"/>
      <c r="AE13" s="510"/>
    </row>
    <row r="14" spans="1:67" ht="23.25" customHeight="1" x14ac:dyDescent="0.2">
      <c r="A14" s="12"/>
      <c r="B14" s="654"/>
      <c r="C14" s="655"/>
      <c r="D14" s="1030" t="s">
        <v>73</v>
      </c>
      <c r="E14" s="1031"/>
      <c r="F14" s="1031"/>
      <c r="G14" s="1031"/>
      <c r="H14" s="1031"/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659"/>
      <c r="W14" s="1031" t="s">
        <v>204</v>
      </c>
      <c r="X14" s="1031"/>
      <c r="Y14" s="1031"/>
      <c r="Z14" s="1031"/>
      <c r="AA14" s="1031"/>
      <c r="AB14" s="1031"/>
      <c r="AC14" s="1031"/>
      <c r="AD14" s="1031"/>
      <c r="AE14" s="665"/>
    </row>
    <row r="15" spans="1:67" ht="23.25" customHeight="1" x14ac:dyDescent="0.2">
      <c r="A15" s="12"/>
      <c r="B15" s="656"/>
      <c r="C15" s="657"/>
      <c r="D15" s="1032"/>
      <c r="E15" s="1033"/>
      <c r="F15" s="1033"/>
      <c r="G15" s="1033"/>
      <c r="H15" s="1033"/>
      <c r="I15" s="1033"/>
      <c r="J15" s="1033"/>
      <c r="K15" s="1033"/>
      <c r="L15" s="1033"/>
      <c r="M15" s="1033"/>
      <c r="N15" s="1033"/>
      <c r="O15" s="1033"/>
      <c r="P15" s="1033"/>
      <c r="Q15" s="1033"/>
      <c r="R15" s="1033"/>
      <c r="S15" s="1033"/>
      <c r="T15" s="1033"/>
      <c r="U15" s="1033"/>
      <c r="V15" s="659"/>
      <c r="W15" s="1033"/>
      <c r="X15" s="1033"/>
      <c r="Y15" s="1033"/>
      <c r="Z15" s="1033"/>
      <c r="AA15" s="1033"/>
      <c r="AB15" s="1033"/>
      <c r="AC15" s="1033"/>
      <c r="AD15" s="1033"/>
      <c r="AE15" s="665"/>
    </row>
    <row r="16" spans="1:67" ht="37.5" customHeight="1" thickBot="1" x14ac:dyDescent="0.25">
      <c r="A16" s="12"/>
      <c r="B16" s="656"/>
      <c r="C16" s="658"/>
      <c r="D16" s="1034"/>
      <c r="E16" s="1035"/>
      <c r="F16" s="1035"/>
      <c r="G16" s="1035"/>
      <c r="H16" s="1035"/>
      <c r="I16" s="1035"/>
      <c r="J16" s="1035"/>
      <c r="K16" s="1035"/>
      <c r="L16" s="1035"/>
      <c r="M16" s="1035"/>
      <c r="N16" s="1035"/>
      <c r="O16" s="1035"/>
      <c r="P16" s="1035"/>
      <c r="Q16" s="1035"/>
      <c r="R16" s="1035"/>
      <c r="S16" s="1035"/>
      <c r="T16" s="1035"/>
      <c r="U16" s="1035"/>
      <c r="V16" s="660"/>
      <c r="W16" s="1035"/>
      <c r="X16" s="1035"/>
      <c r="Y16" s="1035"/>
      <c r="Z16" s="1035"/>
      <c r="AA16" s="1035"/>
      <c r="AB16" s="1035"/>
      <c r="AC16" s="1035"/>
      <c r="AD16" s="1035"/>
      <c r="AE16" s="665"/>
    </row>
    <row r="17" spans="1:56" ht="57.75" customHeight="1" x14ac:dyDescent="0.2">
      <c r="A17" s="12"/>
      <c r="B17" s="656"/>
      <c r="C17" s="658"/>
      <c r="D17" s="1116" t="s">
        <v>74</v>
      </c>
      <c r="E17" s="1117"/>
      <c r="F17" s="1117"/>
      <c r="G17" s="1117"/>
      <c r="H17" s="1117"/>
      <c r="I17" s="1118"/>
      <c r="J17" s="1114" t="s">
        <v>75</v>
      </c>
      <c r="K17" s="1115"/>
      <c r="L17" s="1115"/>
      <c r="M17" s="1115"/>
      <c r="N17" s="1115"/>
      <c r="O17" s="1112" t="s">
        <v>76</v>
      </c>
      <c r="P17" s="1113"/>
      <c r="Q17" s="1113"/>
      <c r="R17" s="1113"/>
      <c r="S17" s="1113"/>
      <c r="T17" s="1113"/>
      <c r="U17" s="1113"/>
      <c r="V17" s="661"/>
      <c r="W17" s="1073" t="s">
        <v>205</v>
      </c>
      <c r="X17" s="1074"/>
      <c r="Y17" s="1074"/>
      <c r="Z17" s="1074"/>
      <c r="AA17" s="1074"/>
      <c r="AB17" s="1074"/>
      <c r="AC17" s="1074"/>
      <c r="AD17" s="1075"/>
      <c r="AE17" s="665"/>
    </row>
    <row r="18" spans="1:56" ht="244.5" customHeight="1" thickBot="1" x14ac:dyDescent="0.25">
      <c r="A18" s="12"/>
      <c r="B18" s="656"/>
      <c r="C18" s="658"/>
      <c r="D18" s="675" t="s">
        <v>77</v>
      </c>
      <c r="E18" s="1107" t="s">
        <v>78</v>
      </c>
      <c r="F18" s="1111"/>
      <c r="G18" s="676" t="s">
        <v>79</v>
      </c>
      <c r="H18" s="676" t="s">
        <v>80</v>
      </c>
      <c r="I18" s="677" t="s">
        <v>81</v>
      </c>
      <c r="J18" s="678" t="s">
        <v>77</v>
      </c>
      <c r="K18" s="676" t="s">
        <v>78</v>
      </c>
      <c r="L18" s="676" t="s">
        <v>79</v>
      </c>
      <c r="M18" s="676" t="s">
        <v>80</v>
      </c>
      <c r="N18" s="679" t="s">
        <v>82</v>
      </c>
      <c r="O18" s="1109" t="s">
        <v>77</v>
      </c>
      <c r="P18" s="1110"/>
      <c r="Q18" s="1111"/>
      <c r="R18" s="1107" t="s">
        <v>78</v>
      </c>
      <c r="S18" s="1108"/>
      <c r="T18" s="676" t="s">
        <v>79</v>
      </c>
      <c r="U18" s="676" t="s">
        <v>80</v>
      </c>
      <c r="V18" s="662"/>
      <c r="W18" s="1076"/>
      <c r="X18" s="1077"/>
      <c r="Y18" s="1077"/>
      <c r="Z18" s="1077"/>
      <c r="AA18" s="1077"/>
      <c r="AB18" s="1077"/>
      <c r="AC18" s="1077"/>
      <c r="AD18" s="1078"/>
      <c r="AE18" s="665"/>
    </row>
    <row r="19" spans="1:56" ht="78.75" customHeight="1" x14ac:dyDescent="0.2">
      <c r="A19" s="12"/>
      <c r="B19" s="656"/>
      <c r="C19" s="658"/>
      <c r="D19" s="511"/>
      <c r="E19" s="16"/>
      <c r="F19" s="16"/>
      <c r="G19" s="16"/>
      <c r="H19" s="16"/>
      <c r="I19" s="18"/>
      <c r="J19" s="17"/>
      <c r="K19" s="16"/>
      <c r="L19" s="16"/>
      <c r="M19" s="16"/>
      <c r="N19" s="15"/>
      <c r="O19" s="17"/>
      <c r="P19" s="16"/>
      <c r="Q19" s="16"/>
      <c r="R19" s="16"/>
      <c r="S19" s="16"/>
      <c r="T19" s="16"/>
      <c r="U19" s="16"/>
      <c r="V19" s="660"/>
      <c r="W19" s="1090" t="s">
        <v>206</v>
      </c>
      <c r="X19" s="1091"/>
      <c r="Y19" s="1091"/>
      <c r="Z19" s="1091"/>
      <c r="AA19" s="1092"/>
      <c r="AB19" s="1079" t="s">
        <v>207</v>
      </c>
      <c r="AC19" s="1080"/>
      <c r="AD19" s="1081"/>
      <c r="AE19" s="665"/>
    </row>
    <row r="20" spans="1:56" ht="264.75" customHeight="1" x14ac:dyDescent="0.2">
      <c r="A20" s="12"/>
      <c r="B20" s="656"/>
      <c r="C20" s="658"/>
      <c r="D20" s="644" t="s">
        <v>83</v>
      </c>
      <c r="E20" s="645" t="s">
        <v>84</v>
      </c>
      <c r="F20" s="645" t="s">
        <v>85</v>
      </c>
      <c r="G20" s="645" t="s">
        <v>86</v>
      </c>
      <c r="H20" s="645" t="s">
        <v>87</v>
      </c>
      <c r="I20" s="646" t="s">
        <v>88</v>
      </c>
      <c r="J20" s="647" t="s">
        <v>578</v>
      </c>
      <c r="K20" s="645" t="s">
        <v>579</v>
      </c>
      <c r="L20" s="645" t="s">
        <v>84</v>
      </c>
      <c r="M20" s="645" t="s">
        <v>87</v>
      </c>
      <c r="N20" s="648" t="s">
        <v>88</v>
      </c>
      <c r="O20" s="647" t="s">
        <v>89</v>
      </c>
      <c r="P20" s="645" t="s">
        <v>90</v>
      </c>
      <c r="Q20" s="645" t="s">
        <v>91</v>
      </c>
      <c r="R20" s="645" t="s">
        <v>551</v>
      </c>
      <c r="S20" s="645" t="s">
        <v>89</v>
      </c>
      <c r="T20" s="645" t="s">
        <v>92</v>
      </c>
      <c r="U20" s="645" t="s">
        <v>552</v>
      </c>
      <c r="V20" s="663"/>
      <c r="W20" s="475" t="s">
        <v>208</v>
      </c>
      <c r="X20" s="1093" t="s">
        <v>209</v>
      </c>
      <c r="Y20" s="1094"/>
      <c r="Z20" s="1093" t="s">
        <v>210</v>
      </c>
      <c r="AA20" s="1101"/>
      <c r="AB20" s="1082" t="s">
        <v>211</v>
      </c>
      <c r="AC20" s="1084" t="s">
        <v>212</v>
      </c>
      <c r="AD20" s="1095" t="s">
        <v>213</v>
      </c>
      <c r="AE20" s="665"/>
      <c r="AG20" s="1071" t="s">
        <v>40</v>
      </c>
      <c r="AH20" s="1072"/>
      <c r="AI20" s="1072"/>
      <c r="AJ20" s="1072"/>
      <c r="AL20" s="1071" t="s">
        <v>45</v>
      </c>
      <c r="AM20" s="1072"/>
      <c r="AN20" s="1072"/>
      <c r="AO20" s="1072"/>
      <c r="AP20" s="19"/>
      <c r="AQ20" s="20" t="s">
        <v>46</v>
      </c>
      <c r="AR20" s="1"/>
      <c r="AS20" s="1"/>
      <c r="AT20" s="1"/>
    </row>
    <row r="21" spans="1:56" ht="174" customHeight="1" x14ac:dyDescent="0.2">
      <c r="A21" s="12"/>
      <c r="B21" s="656"/>
      <c r="C21" s="658"/>
      <c r="D21" s="649" t="s">
        <v>553</v>
      </c>
      <c r="E21" s="650" t="s">
        <v>554</v>
      </c>
      <c r="F21" s="650" t="s">
        <v>555</v>
      </c>
      <c r="G21" s="650" t="s">
        <v>556</v>
      </c>
      <c r="H21" s="650" t="s">
        <v>557</v>
      </c>
      <c r="I21" s="651" t="s">
        <v>558</v>
      </c>
      <c r="J21" s="652" t="s">
        <v>559</v>
      </c>
      <c r="K21" s="650" t="s">
        <v>560</v>
      </c>
      <c r="L21" s="650" t="s">
        <v>561</v>
      </c>
      <c r="M21" s="650" t="s">
        <v>562</v>
      </c>
      <c r="N21" s="653" t="s">
        <v>558</v>
      </c>
      <c r="O21" s="652" t="s">
        <v>563</v>
      </c>
      <c r="P21" s="650" t="s">
        <v>564</v>
      </c>
      <c r="Q21" s="650" t="s">
        <v>565</v>
      </c>
      <c r="R21" s="650" t="s">
        <v>566</v>
      </c>
      <c r="S21" s="650" t="s">
        <v>567</v>
      </c>
      <c r="T21" s="650" t="s">
        <v>568</v>
      </c>
      <c r="U21" s="650" t="s">
        <v>569</v>
      </c>
      <c r="V21" s="664"/>
      <c r="W21" s="673" t="s">
        <v>214</v>
      </c>
      <c r="X21" s="674" t="s">
        <v>221</v>
      </c>
      <c r="Y21" s="674" t="s">
        <v>0</v>
      </c>
      <c r="Z21" s="674" t="s">
        <v>215</v>
      </c>
      <c r="AA21" s="479" t="s">
        <v>1</v>
      </c>
      <c r="AB21" s="1083"/>
      <c r="AC21" s="1085"/>
      <c r="AD21" s="1095"/>
      <c r="AE21" s="665"/>
      <c r="AG21" s="14" t="s">
        <v>36</v>
      </c>
      <c r="AH21" s="14" t="s">
        <v>37</v>
      </c>
      <c r="AI21" s="14" t="s">
        <v>38</v>
      </c>
      <c r="AJ21" s="23" t="s">
        <v>39</v>
      </c>
      <c r="AL21" s="14" t="s">
        <v>42</v>
      </c>
      <c r="AM21" s="14" t="s">
        <v>43</v>
      </c>
      <c r="AN21" s="14" t="s">
        <v>44</v>
      </c>
      <c r="AO21" s="23" t="s">
        <v>41</v>
      </c>
      <c r="AQ21" s="14" t="s">
        <v>47</v>
      </c>
      <c r="AR21" s="14" t="s">
        <v>48</v>
      </c>
      <c r="AS21" s="14" t="s">
        <v>49</v>
      </c>
      <c r="AT21" s="24"/>
      <c r="AV21" s="14" t="s">
        <v>35</v>
      </c>
      <c r="AZ21" s="1" t="s">
        <v>50</v>
      </c>
      <c r="BA21" s="1" t="s">
        <v>41</v>
      </c>
      <c r="BB21" s="1" t="s">
        <v>51</v>
      </c>
      <c r="BC21" s="1"/>
      <c r="BD21" s="1" t="s">
        <v>34</v>
      </c>
    </row>
    <row r="22" spans="1:56" ht="32.25" customHeight="1" x14ac:dyDescent="0.35">
      <c r="A22" s="12"/>
      <c r="B22" s="668"/>
      <c r="C22" s="680" t="s">
        <v>93</v>
      </c>
      <c r="D22" s="1103"/>
      <c r="E22" s="1104"/>
      <c r="F22" s="1104"/>
      <c r="G22" s="1104"/>
      <c r="H22" s="1104"/>
      <c r="I22" s="1105"/>
      <c r="J22" s="1106"/>
      <c r="K22" s="1104"/>
      <c r="L22" s="1104"/>
      <c r="M22" s="1104"/>
      <c r="N22" s="1105"/>
      <c r="O22" s="1106"/>
      <c r="P22" s="1104"/>
      <c r="Q22" s="1104"/>
      <c r="R22" s="1104"/>
      <c r="S22" s="1104"/>
      <c r="T22" s="1104"/>
      <c r="U22" s="1104"/>
      <c r="V22" s="682" t="s">
        <v>93</v>
      </c>
      <c r="W22" s="1088"/>
      <c r="X22" s="1096"/>
      <c r="Y22" s="1096"/>
      <c r="Z22" s="1096"/>
      <c r="AA22" s="1086"/>
      <c r="AB22" s="1063"/>
      <c r="AC22" s="1065"/>
      <c r="AD22" s="1068"/>
      <c r="AE22" s="665"/>
      <c r="AG22" s="1067">
        <f>IF(OR(D22&lt;&gt;"",E22&lt;&gt;"",F22&lt;&gt;"",J22&lt;&gt;"",K22&lt;&gt;"",O22&lt;&gt;"",P22&lt;&gt;"",Q22&lt;&gt;"",R22&lt;&gt;"",S22&lt;&gt;""),1,0)</f>
        <v>0</v>
      </c>
      <c r="AH22" s="1067">
        <f>IF(OR(G22&lt;&gt;"",I22&lt;&gt;"",L22&lt;&gt;"",N22&lt;&gt;"",T22&lt;&gt;""),1,0)</f>
        <v>0</v>
      </c>
      <c r="AI22" s="1067">
        <f>IF(OR(H22&lt;&gt;"",M22&lt;&gt;"",U22&lt;&gt;""),1,0)</f>
        <v>0</v>
      </c>
      <c r="AJ22" s="1070">
        <f>IF(AG22=1,1.5,IF(AH22=1,0.5,IF(AI22=1,0,-1)))</f>
        <v>-1</v>
      </c>
      <c r="AL22" s="1067">
        <f>IF(W22&lt;&gt;"",1,0)</f>
        <v>0</v>
      </c>
      <c r="AM22" s="1067">
        <f>IF(X22&lt;&gt;"",1,0)</f>
        <v>0</v>
      </c>
      <c r="AN22" s="1067">
        <f>IF(Z22&lt;&gt;"",1,0)</f>
        <v>0</v>
      </c>
      <c r="AO22" s="1070">
        <f>IF(AN22=1,1,IF(AM22=1,0.5,IF(AL22=1,0,-1)))</f>
        <v>-1</v>
      </c>
      <c r="AQ22" s="1067">
        <f>IF(AB22&lt;&gt;"",1,0)</f>
        <v>0</v>
      </c>
      <c r="AR22" s="1067">
        <f>IF(AC22&lt;&gt;"",1,0)</f>
        <v>0</v>
      </c>
      <c r="AS22" s="1067">
        <f>IF(AD22&lt;&gt;"",1,0)</f>
        <v>0</v>
      </c>
      <c r="AT22" s="1070">
        <f>IF(AS22=1,1,IF(AR22=1,0.5,IF(AQ22=1,0,-1)))</f>
        <v>-1</v>
      </c>
      <c r="AV22" s="1067">
        <f>AJ22+AO22+AT22</f>
        <v>-3</v>
      </c>
      <c r="AZ22" s="684">
        <v>2</v>
      </c>
      <c r="BA22" s="684" t="s">
        <v>5</v>
      </c>
      <c r="BB22" s="684" t="s">
        <v>5</v>
      </c>
      <c r="BC22" s="684" t="s">
        <v>217</v>
      </c>
      <c r="BD22" s="684">
        <v>2</v>
      </c>
    </row>
    <row r="23" spans="1:56" ht="32.25" customHeight="1" x14ac:dyDescent="0.35">
      <c r="A23" s="12"/>
      <c r="B23" s="668"/>
      <c r="C23" s="680"/>
      <c r="D23" s="1103"/>
      <c r="E23" s="1104"/>
      <c r="F23" s="1104"/>
      <c r="G23" s="1104"/>
      <c r="H23" s="1104"/>
      <c r="I23" s="1105"/>
      <c r="J23" s="1106"/>
      <c r="K23" s="1104"/>
      <c r="L23" s="1104"/>
      <c r="M23" s="1104"/>
      <c r="N23" s="1105"/>
      <c r="O23" s="1106"/>
      <c r="P23" s="1104"/>
      <c r="Q23" s="1104"/>
      <c r="R23" s="1104"/>
      <c r="S23" s="1104"/>
      <c r="T23" s="1104"/>
      <c r="U23" s="1104"/>
      <c r="V23" s="682"/>
      <c r="W23" s="1089"/>
      <c r="X23" s="1097"/>
      <c r="Y23" s="1097"/>
      <c r="Z23" s="1097"/>
      <c r="AA23" s="1087"/>
      <c r="AB23" s="1063"/>
      <c r="AC23" s="1065"/>
      <c r="AD23" s="1068"/>
      <c r="AE23" s="665"/>
      <c r="AG23" s="1067"/>
      <c r="AH23" s="1067"/>
      <c r="AI23" s="1067"/>
      <c r="AJ23" s="1070"/>
      <c r="AL23" s="1067"/>
      <c r="AM23" s="1067"/>
      <c r="AN23" s="1067"/>
      <c r="AO23" s="1070"/>
      <c r="AQ23" s="1067"/>
      <c r="AR23" s="1067"/>
      <c r="AS23" s="1067"/>
      <c r="AT23" s="1070"/>
      <c r="AV23" s="1067"/>
      <c r="AZ23" s="684">
        <v>1</v>
      </c>
      <c r="BA23" s="684">
        <v>0</v>
      </c>
      <c r="BB23" s="684" t="s">
        <v>5</v>
      </c>
      <c r="BC23" s="684" t="s">
        <v>218</v>
      </c>
      <c r="BD23" s="684">
        <v>1</v>
      </c>
    </row>
    <row r="24" spans="1:56" ht="32.25" customHeight="1" x14ac:dyDescent="0.35">
      <c r="A24" s="12"/>
      <c r="B24" s="668"/>
      <c r="C24" s="680" t="s">
        <v>94</v>
      </c>
      <c r="D24" s="1103"/>
      <c r="E24" s="1104"/>
      <c r="F24" s="1104"/>
      <c r="G24" s="1104"/>
      <c r="H24" s="1104"/>
      <c r="I24" s="1105"/>
      <c r="J24" s="1106"/>
      <c r="K24" s="1104"/>
      <c r="L24" s="1104"/>
      <c r="M24" s="1104"/>
      <c r="N24" s="1105"/>
      <c r="O24" s="1106"/>
      <c r="P24" s="1104"/>
      <c r="Q24" s="1104"/>
      <c r="R24" s="1104"/>
      <c r="S24" s="1104"/>
      <c r="T24" s="1104"/>
      <c r="U24" s="1104"/>
      <c r="V24" s="682" t="s">
        <v>94</v>
      </c>
      <c r="W24" s="1088"/>
      <c r="X24" s="1096"/>
      <c r="Y24" s="1096"/>
      <c r="Z24" s="1096"/>
      <c r="AA24" s="1086"/>
      <c r="AB24" s="1063"/>
      <c r="AC24" s="1065"/>
      <c r="AD24" s="1068"/>
      <c r="AE24" s="665"/>
      <c r="AG24" s="1067">
        <f>IF(OR(D24&lt;&gt;"",E24&lt;&gt;"",F24&lt;&gt;"",J24&lt;&gt;"",K24&lt;&gt;"",O24&lt;&gt;"",P24&lt;&gt;"",Q24&lt;&gt;"",R24&lt;&gt;"",S24&lt;&gt;""),1,0)</f>
        <v>0</v>
      </c>
      <c r="AH24" s="1067">
        <f>IF(OR(G24&lt;&gt;"",I24&lt;&gt;"",L24&lt;&gt;"",N24&lt;&gt;"",T24&lt;&gt;""),1,0)</f>
        <v>0</v>
      </c>
      <c r="AI24" s="1067">
        <f>IF(OR(H24&lt;&gt;"",M24&lt;&gt;"",U24&lt;&gt;""),1,0)</f>
        <v>0</v>
      </c>
      <c r="AJ24" s="1070">
        <f>IF(AG24=1,1.5,IF(AH24=1,0.5,IF(AI24=1,0,-1)))</f>
        <v>-1</v>
      </c>
      <c r="AL24" s="1067">
        <f>IF(W24&lt;&gt;"",1,0)</f>
        <v>0</v>
      </c>
      <c r="AM24" s="1067">
        <f>IF(X24&lt;&gt;"",1,0)</f>
        <v>0</v>
      </c>
      <c r="AN24" s="1067">
        <f>IF(Z24&lt;&gt;"",1,0)</f>
        <v>0</v>
      </c>
      <c r="AO24" s="1070">
        <f>IF(AN24=1,1,IF(AM24=1,0.5,IF(AL24=1,0,-1)))</f>
        <v>-1</v>
      </c>
      <c r="AQ24" s="1067">
        <f>IF(AB24&lt;&gt;"",1,0)</f>
        <v>0</v>
      </c>
      <c r="AR24" s="1067">
        <f>IF(AC24&lt;&gt;"",1,0)</f>
        <v>0</v>
      </c>
      <c r="AS24" s="1067">
        <f>IF(AD24&lt;&gt;"",1,0)</f>
        <v>0</v>
      </c>
      <c r="AT24" s="1070">
        <f>IF(AS24=1,1,IF(AR24=1,0.5,IF(AQ24=1,0,-1)))</f>
        <v>-1</v>
      </c>
      <c r="AV24" s="1067">
        <f>AJ24+AO24+AT24</f>
        <v>-3</v>
      </c>
      <c r="AZ24" s="684">
        <v>1</v>
      </c>
      <c r="BA24" s="684">
        <v>1</v>
      </c>
      <c r="BB24" s="684" t="s">
        <v>5</v>
      </c>
      <c r="BC24" s="684" t="s">
        <v>217</v>
      </c>
      <c r="BD24" s="684">
        <v>2</v>
      </c>
    </row>
    <row r="25" spans="1:56" ht="32.25" customHeight="1" x14ac:dyDescent="0.35">
      <c r="A25" s="12"/>
      <c r="B25" s="668"/>
      <c r="C25" s="680"/>
      <c r="D25" s="1103"/>
      <c r="E25" s="1104"/>
      <c r="F25" s="1104"/>
      <c r="G25" s="1104"/>
      <c r="H25" s="1104"/>
      <c r="I25" s="1105"/>
      <c r="J25" s="1106"/>
      <c r="K25" s="1104"/>
      <c r="L25" s="1104"/>
      <c r="M25" s="1104"/>
      <c r="N25" s="1105"/>
      <c r="O25" s="1106"/>
      <c r="P25" s="1104"/>
      <c r="Q25" s="1104"/>
      <c r="R25" s="1104"/>
      <c r="S25" s="1104"/>
      <c r="T25" s="1104"/>
      <c r="U25" s="1104"/>
      <c r="V25" s="682"/>
      <c r="W25" s="1089"/>
      <c r="X25" s="1097"/>
      <c r="Y25" s="1097"/>
      <c r="Z25" s="1097"/>
      <c r="AA25" s="1087"/>
      <c r="AB25" s="1063"/>
      <c r="AC25" s="1065"/>
      <c r="AD25" s="1068"/>
      <c r="AE25" s="665"/>
      <c r="AG25" s="1067"/>
      <c r="AH25" s="1067"/>
      <c r="AI25" s="1067"/>
      <c r="AJ25" s="1070"/>
      <c r="AL25" s="1067"/>
      <c r="AM25" s="1067"/>
      <c r="AN25" s="1067"/>
      <c r="AO25" s="1070"/>
      <c r="AQ25" s="1067"/>
      <c r="AR25" s="1067"/>
      <c r="AS25" s="1067"/>
      <c r="AT25" s="1070"/>
      <c r="AV25" s="1067"/>
      <c r="AZ25" s="684">
        <v>1</v>
      </c>
      <c r="BA25" s="684">
        <v>2</v>
      </c>
      <c r="BB25" s="684" t="s">
        <v>31</v>
      </c>
      <c r="BC25" s="684" t="s">
        <v>217</v>
      </c>
      <c r="BD25" s="684">
        <v>2</v>
      </c>
    </row>
    <row r="26" spans="1:56" ht="32.25" customHeight="1" x14ac:dyDescent="0.35">
      <c r="A26" s="12"/>
      <c r="B26" s="668"/>
      <c r="C26" s="680" t="s">
        <v>95</v>
      </c>
      <c r="D26" s="1103"/>
      <c r="E26" s="1104"/>
      <c r="F26" s="1104"/>
      <c r="G26" s="1104"/>
      <c r="H26" s="1104"/>
      <c r="I26" s="1105"/>
      <c r="J26" s="1106"/>
      <c r="K26" s="1104"/>
      <c r="L26" s="1104"/>
      <c r="M26" s="1104"/>
      <c r="N26" s="1105"/>
      <c r="O26" s="1106"/>
      <c r="P26" s="1104"/>
      <c r="Q26" s="1104"/>
      <c r="R26" s="1104"/>
      <c r="S26" s="1104"/>
      <c r="T26" s="1104"/>
      <c r="U26" s="1104"/>
      <c r="V26" s="682" t="s">
        <v>95</v>
      </c>
      <c r="W26" s="1088"/>
      <c r="X26" s="1096"/>
      <c r="Y26" s="1096"/>
      <c r="Z26" s="1096"/>
      <c r="AA26" s="1086"/>
      <c r="AB26" s="1063"/>
      <c r="AC26" s="1065"/>
      <c r="AD26" s="1068"/>
      <c r="AE26" s="665"/>
      <c r="AG26" s="1067">
        <f>IF(OR(D26&lt;&gt;"",E26&lt;&gt;"",F26&lt;&gt;"",J26&lt;&gt;"",K26&lt;&gt;"",O26&lt;&gt;"",P26&lt;&gt;"",Q26&lt;&gt;"",R26&lt;&gt;"",S26&lt;&gt;""),1,0)</f>
        <v>0</v>
      </c>
      <c r="AH26" s="1067">
        <f>IF(OR(G26&lt;&gt;"",I26&lt;&gt;"",L26&lt;&gt;"",N26&lt;&gt;"",T26&lt;&gt;""),1,0)</f>
        <v>0</v>
      </c>
      <c r="AI26" s="1067">
        <f>IF(OR(H26&lt;&gt;"",M26&lt;&gt;"",U26&lt;&gt;""),1,0)</f>
        <v>0</v>
      </c>
      <c r="AJ26" s="1070">
        <f>IF(AG26=1,1.5,IF(AH26=1,0.5,IF(AI26=1,0,-1)))</f>
        <v>-1</v>
      </c>
      <c r="AL26" s="1067">
        <f>IF(W26&lt;&gt;"",1,0)</f>
        <v>0</v>
      </c>
      <c r="AM26" s="1067">
        <f>IF(X26&lt;&gt;"",1,0)</f>
        <v>0</v>
      </c>
      <c r="AN26" s="1067">
        <f>IF(Z26&lt;&gt;"",1,0)</f>
        <v>0</v>
      </c>
      <c r="AO26" s="1070">
        <f>IF(AN26=1,1,IF(AM26=1,0.5,IF(AL26=1,0,-1)))</f>
        <v>-1</v>
      </c>
      <c r="AQ26" s="1067">
        <f>IF(AB26&lt;&gt;"",1,0)</f>
        <v>0</v>
      </c>
      <c r="AR26" s="1067">
        <f>IF(AC26&lt;&gt;"",1,0)</f>
        <v>0</v>
      </c>
      <c r="AS26" s="1067">
        <f>IF(AD26&lt;&gt;"",1,0)</f>
        <v>0</v>
      </c>
      <c r="AT26" s="1070">
        <f>IF(AS26=1,1,IF(AR26=1,0.5,IF(AQ26=1,0,-1)))</f>
        <v>-1</v>
      </c>
      <c r="AV26" s="1067">
        <f>AJ26+AO26+AT26</f>
        <v>-3</v>
      </c>
      <c r="AZ26" s="684">
        <v>0</v>
      </c>
      <c r="BA26" s="684">
        <v>0</v>
      </c>
      <c r="BB26" s="684">
        <v>0</v>
      </c>
      <c r="BC26" s="684" t="s">
        <v>216</v>
      </c>
      <c r="BD26" s="684">
        <v>0</v>
      </c>
    </row>
    <row r="27" spans="1:56" ht="32.25" customHeight="1" x14ac:dyDescent="0.35">
      <c r="A27" s="12"/>
      <c r="B27" s="668"/>
      <c r="C27" s="680"/>
      <c r="D27" s="1103"/>
      <c r="E27" s="1104"/>
      <c r="F27" s="1104"/>
      <c r="G27" s="1104"/>
      <c r="H27" s="1104"/>
      <c r="I27" s="1105"/>
      <c r="J27" s="1106"/>
      <c r="K27" s="1104"/>
      <c r="L27" s="1104"/>
      <c r="M27" s="1104"/>
      <c r="N27" s="1105"/>
      <c r="O27" s="1106"/>
      <c r="P27" s="1104"/>
      <c r="Q27" s="1104"/>
      <c r="R27" s="1104"/>
      <c r="S27" s="1104"/>
      <c r="T27" s="1104"/>
      <c r="U27" s="1104"/>
      <c r="V27" s="682"/>
      <c r="W27" s="1089"/>
      <c r="X27" s="1097"/>
      <c r="Y27" s="1097"/>
      <c r="Z27" s="1097"/>
      <c r="AA27" s="1087"/>
      <c r="AB27" s="1063"/>
      <c r="AC27" s="1065"/>
      <c r="AD27" s="1068"/>
      <c r="AE27" s="665"/>
      <c r="AG27" s="1067"/>
      <c r="AH27" s="1067"/>
      <c r="AI27" s="1067"/>
      <c r="AJ27" s="1070"/>
      <c r="AL27" s="1067"/>
      <c r="AM27" s="1067"/>
      <c r="AN27" s="1067"/>
      <c r="AO27" s="1070"/>
      <c r="AQ27" s="1067"/>
      <c r="AR27" s="1067"/>
      <c r="AS27" s="1067"/>
      <c r="AT27" s="1070"/>
      <c r="AV27" s="1067"/>
      <c r="AZ27" s="684">
        <v>0</v>
      </c>
      <c r="BA27" s="684">
        <v>0</v>
      </c>
      <c r="BB27" s="684">
        <v>1</v>
      </c>
      <c r="BC27" s="684" t="s">
        <v>218</v>
      </c>
      <c r="BD27" s="684">
        <v>1</v>
      </c>
    </row>
    <row r="28" spans="1:56" ht="32.25" customHeight="1" x14ac:dyDescent="0.35">
      <c r="A28" s="12"/>
      <c r="B28" s="668"/>
      <c r="C28" s="680" t="s">
        <v>96</v>
      </c>
      <c r="D28" s="1103"/>
      <c r="E28" s="1104"/>
      <c r="F28" s="1104"/>
      <c r="G28" s="1104"/>
      <c r="H28" s="1104"/>
      <c r="I28" s="1105"/>
      <c r="J28" s="1106"/>
      <c r="K28" s="1104"/>
      <c r="L28" s="1104"/>
      <c r="M28" s="1104"/>
      <c r="N28" s="1105"/>
      <c r="O28" s="1106"/>
      <c r="P28" s="1104"/>
      <c r="Q28" s="1104"/>
      <c r="R28" s="1104"/>
      <c r="S28" s="1104"/>
      <c r="T28" s="1104"/>
      <c r="U28" s="1104"/>
      <c r="V28" s="682" t="s">
        <v>96</v>
      </c>
      <c r="W28" s="1088"/>
      <c r="X28" s="1096"/>
      <c r="Y28" s="1096"/>
      <c r="Z28" s="1096"/>
      <c r="AA28" s="1086"/>
      <c r="AB28" s="1063"/>
      <c r="AC28" s="1065"/>
      <c r="AD28" s="1068"/>
      <c r="AE28" s="665"/>
      <c r="AG28" s="1067">
        <f>IF(OR(D28&lt;&gt;"",E28&lt;&gt;"",F28&lt;&gt;"",J28&lt;&gt;"",K28&lt;&gt;"",O28&lt;&gt;"",P28&lt;&gt;"",Q28&lt;&gt;"",R28&lt;&gt;"",S28&lt;&gt;""),1,0)</f>
        <v>0</v>
      </c>
      <c r="AH28" s="1067">
        <f>IF(OR(G28&lt;&gt;"",I28&lt;&gt;"",L28&lt;&gt;"",N28&lt;&gt;"",T28&lt;&gt;""),1,0)</f>
        <v>0</v>
      </c>
      <c r="AI28" s="1067">
        <f>IF(OR(H28&lt;&gt;"",M28&lt;&gt;"",U28&lt;&gt;""),1,0)</f>
        <v>0</v>
      </c>
      <c r="AJ28" s="1070">
        <f>IF(AG28=1,1.5,IF(AH28=1,0.5,IF(AI28=1,0,-1)))</f>
        <v>-1</v>
      </c>
      <c r="AL28" s="1067">
        <f>IF(W28&lt;&gt;"",1,0)</f>
        <v>0</v>
      </c>
      <c r="AM28" s="1067">
        <f>IF(X28&lt;&gt;"",1,0)</f>
        <v>0</v>
      </c>
      <c r="AN28" s="1067">
        <f>IF(Z28&lt;&gt;"",1,0)</f>
        <v>0</v>
      </c>
      <c r="AO28" s="1070">
        <f>IF(AN28=1,1,IF(AM28=1,0.5,IF(AL28=1,0,-1)))</f>
        <v>-1</v>
      </c>
      <c r="AQ28" s="1067">
        <f>IF(AB28&lt;&gt;"",1,0)</f>
        <v>0</v>
      </c>
      <c r="AR28" s="1067">
        <f>IF(AC28&lt;&gt;"",1,0)</f>
        <v>0</v>
      </c>
      <c r="AS28" s="1067">
        <f>IF(AD28&lt;&gt;"",1,0)</f>
        <v>0</v>
      </c>
      <c r="AT28" s="1070">
        <f>IF(AS28=1,1,IF(AR28=1,0.5,IF(AQ28=1,0,-1)))</f>
        <v>-1</v>
      </c>
      <c r="AV28" s="1067">
        <f>AJ28+AO28+AT28</f>
        <v>-3</v>
      </c>
      <c r="AZ28" s="684">
        <v>0</v>
      </c>
      <c r="BA28" s="684">
        <v>0</v>
      </c>
      <c r="BB28" s="684">
        <v>2</v>
      </c>
      <c r="BC28" s="684" t="s">
        <v>218</v>
      </c>
      <c r="BD28" s="684">
        <v>1</v>
      </c>
    </row>
    <row r="29" spans="1:56" ht="32.25" customHeight="1" x14ac:dyDescent="0.35">
      <c r="A29" s="6"/>
      <c r="B29" s="668"/>
      <c r="C29" s="680"/>
      <c r="D29" s="1103"/>
      <c r="E29" s="1104"/>
      <c r="F29" s="1104"/>
      <c r="G29" s="1104"/>
      <c r="H29" s="1104"/>
      <c r="I29" s="1105"/>
      <c r="J29" s="1106"/>
      <c r="K29" s="1104"/>
      <c r="L29" s="1104"/>
      <c r="M29" s="1104"/>
      <c r="N29" s="1105"/>
      <c r="O29" s="1106"/>
      <c r="P29" s="1104"/>
      <c r="Q29" s="1104"/>
      <c r="R29" s="1104"/>
      <c r="S29" s="1104"/>
      <c r="T29" s="1104"/>
      <c r="U29" s="1104"/>
      <c r="V29" s="682"/>
      <c r="W29" s="1089"/>
      <c r="X29" s="1097"/>
      <c r="Y29" s="1097"/>
      <c r="Z29" s="1097"/>
      <c r="AA29" s="1087"/>
      <c r="AB29" s="1063"/>
      <c r="AC29" s="1065"/>
      <c r="AD29" s="1068"/>
      <c r="AE29" s="665"/>
      <c r="AG29" s="1067"/>
      <c r="AH29" s="1067"/>
      <c r="AI29" s="1067"/>
      <c r="AJ29" s="1070"/>
      <c r="AL29" s="1067"/>
      <c r="AM29" s="1067"/>
      <c r="AN29" s="1067"/>
      <c r="AO29" s="1070"/>
      <c r="AQ29" s="1067"/>
      <c r="AR29" s="1067"/>
      <c r="AS29" s="1067"/>
      <c r="AT29" s="1070"/>
      <c r="AV29" s="1067"/>
      <c r="AZ29" s="684">
        <v>0</v>
      </c>
      <c r="BA29" s="684">
        <v>1</v>
      </c>
      <c r="BB29" s="684">
        <v>0</v>
      </c>
      <c r="BC29" s="684" t="s">
        <v>218</v>
      </c>
      <c r="BD29" s="684">
        <v>0</v>
      </c>
    </row>
    <row r="30" spans="1:56" ht="32.25" customHeight="1" x14ac:dyDescent="0.35">
      <c r="A30" s="12"/>
      <c r="B30" s="668"/>
      <c r="C30" s="680" t="s">
        <v>97</v>
      </c>
      <c r="D30" s="1103"/>
      <c r="E30" s="1104"/>
      <c r="F30" s="1104"/>
      <c r="G30" s="1104"/>
      <c r="H30" s="1104"/>
      <c r="I30" s="1105"/>
      <c r="J30" s="1106"/>
      <c r="K30" s="1104"/>
      <c r="L30" s="1104"/>
      <c r="M30" s="1104"/>
      <c r="N30" s="1105"/>
      <c r="O30" s="1106"/>
      <c r="P30" s="1104"/>
      <c r="Q30" s="1104"/>
      <c r="R30" s="1104"/>
      <c r="S30" s="1104"/>
      <c r="T30" s="1104"/>
      <c r="U30" s="1104"/>
      <c r="V30" s="682" t="s">
        <v>97</v>
      </c>
      <c r="W30" s="1088"/>
      <c r="X30" s="1096"/>
      <c r="Y30" s="1096"/>
      <c r="Z30" s="1096"/>
      <c r="AA30" s="1086"/>
      <c r="AB30" s="1063"/>
      <c r="AC30" s="1065"/>
      <c r="AD30" s="1068"/>
      <c r="AE30" s="665"/>
      <c r="AG30" s="1067">
        <f>IF(OR(D30&lt;&gt;"",E30&lt;&gt;"",F30&lt;&gt;"",J30&lt;&gt;"",K30&lt;&gt;"",O30&lt;&gt;"",P30&lt;&gt;"",Q30&lt;&gt;"",R30&lt;&gt;"",S30&lt;&gt;""),1,0)</f>
        <v>0</v>
      </c>
      <c r="AH30" s="1067">
        <f>IF(OR(G30&lt;&gt;"",I30&lt;&gt;"",L30&lt;&gt;"",N30&lt;&gt;"",T30&lt;&gt;""),1,0)</f>
        <v>0</v>
      </c>
      <c r="AI30" s="1067">
        <f>IF(OR(H30&lt;&gt;"",M30&lt;&gt;"",U30&lt;&gt;""),1,0)</f>
        <v>0</v>
      </c>
      <c r="AJ30" s="1070">
        <f>IF(AG30=1,1.5,IF(AH30=1,0.5,IF(AI30=1,0,-1)))</f>
        <v>-1</v>
      </c>
      <c r="AL30" s="1067">
        <f>IF(W30&lt;&gt;"",1,0)</f>
        <v>0</v>
      </c>
      <c r="AM30" s="1067">
        <f>IF(X30&lt;&gt;"",1,0)</f>
        <v>0</v>
      </c>
      <c r="AN30" s="1067">
        <f>IF(Z30&lt;&gt;"",1,0)</f>
        <v>0</v>
      </c>
      <c r="AO30" s="1070">
        <f>IF(AN30=1,1,IF(AM30=1,0.5,IF(AL30=1,0,-1)))</f>
        <v>-1</v>
      </c>
      <c r="AQ30" s="1067">
        <f>IF(AB30&lt;&gt;"",1,0)</f>
        <v>0</v>
      </c>
      <c r="AR30" s="1067">
        <f>IF(AC30&lt;&gt;"",1,0)</f>
        <v>0</v>
      </c>
      <c r="AS30" s="1067">
        <f>IF(AD30&lt;&gt;"",1,0)</f>
        <v>0</v>
      </c>
      <c r="AT30" s="1070">
        <f>IF(AS30=1,1,IF(AR30=1,0.5,IF(AQ30=1,0,-1)))</f>
        <v>-1</v>
      </c>
      <c r="AV30" s="1067">
        <f>AJ30+AO30+AT30</f>
        <v>-3</v>
      </c>
      <c r="AZ30" s="684">
        <v>0</v>
      </c>
      <c r="BA30" s="684">
        <v>1</v>
      </c>
      <c r="BB30" s="684">
        <v>1</v>
      </c>
      <c r="BC30" s="684" t="s">
        <v>218</v>
      </c>
      <c r="BD30" s="684">
        <v>1</v>
      </c>
    </row>
    <row r="31" spans="1:56" ht="32.25" customHeight="1" x14ac:dyDescent="0.35">
      <c r="A31" s="12"/>
      <c r="B31" s="668"/>
      <c r="C31" s="680"/>
      <c r="D31" s="1103"/>
      <c r="E31" s="1104"/>
      <c r="F31" s="1104"/>
      <c r="G31" s="1104"/>
      <c r="H31" s="1104"/>
      <c r="I31" s="1105"/>
      <c r="J31" s="1106"/>
      <c r="K31" s="1104"/>
      <c r="L31" s="1104"/>
      <c r="M31" s="1104"/>
      <c r="N31" s="1105"/>
      <c r="O31" s="1106"/>
      <c r="P31" s="1104"/>
      <c r="Q31" s="1104"/>
      <c r="R31" s="1104"/>
      <c r="S31" s="1104"/>
      <c r="T31" s="1104"/>
      <c r="U31" s="1104"/>
      <c r="V31" s="682"/>
      <c r="W31" s="1089"/>
      <c r="X31" s="1097"/>
      <c r="Y31" s="1097"/>
      <c r="Z31" s="1097"/>
      <c r="AA31" s="1099"/>
      <c r="AB31" s="1063"/>
      <c r="AC31" s="1065"/>
      <c r="AD31" s="1068"/>
      <c r="AE31" s="665"/>
      <c r="AG31" s="1067"/>
      <c r="AH31" s="1067"/>
      <c r="AI31" s="1067"/>
      <c r="AJ31" s="1070"/>
      <c r="AL31" s="1067"/>
      <c r="AM31" s="1067"/>
      <c r="AN31" s="1067"/>
      <c r="AO31" s="1070"/>
      <c r="AQ31" s="1067"/>
      <c r="AR31" s="1067"/>
      <c r="AS31" s="1067"/>
      <c r="AT31" s="1070"/>
      <c r="AV31" s="1067"/>
      <c r="AZ31" s="684">
        <v>0</v>
      </c>
      <c r="BA31" s="684">
        <v>1</v>
      </c>
      <c r="BB31" s="684">
        <v>2</v>
      </c>
      <c r="BC31" s="684" t="s">
        <v>216</v>
      </c>
      <c r="BD31" s="684">
        <v>1</v>
      </c>
    </row>
    <row r="32" spans="1:56" ht="32.25" customHeight="1" x14ac:dyDescent="0.35">
      <c r="A32" s="12"/>
      <c r="B32" s="668"/>
      <c r="C32" s="680" t="s">
        <v>98</v>
      </c>
      <c r="D32" s="1103"/>
      <c r="E32" s="1104"/>
      <c r="F32" s="1104"/>
      <c r="G32" s="1104"/>
      <c r="H32" s="1104"/>
      <c r="I32" s="1105"/>
      <c r="J32" s="1106"/>
      <c r="K32" s="1104"/>
      <c r="L32" s="1104"/>
      <c r="M32" s="1104"/>
      <c r="N32" s="1105"/>
      <c r="O32" s="1106"/>
      <c r="P32" s="1104"/>
      <c r="Q32" s="1104"/>
      <c r="R32" s="1104"/>
      <c r="S32" s="1104"/>
      <c r="T32" s="1104"/>
      <c r="U32" s="1104"/>
      <c r="V32" s="682" t="s">
        <v>104</v>
      </c>
      <c r="W32" s="1088"/>
      <c r="X32" s="1096"/>
      <c r="Y32" s="1096"/>
      <c r="Z32" s="1096"/>
      <c r="AA32" s="1086"/>
      <c r="AB32" s="1063"/>
      <c r="AC32" s="1065"/>
      <c r="AD32" s="1068"/>
      <c r="AE32" s="665"/>
      <c r="AG32" s="1067">
        <f>IF(OR(D32&lt;&gt;"",E32&lt;&gt;"",F32&lt;&gt;"",J32&lt;&gt;"",K32&lt;&gt;"",O32&lt;&gt;"",P32&lt;&gt;"",Q32&lt;&gt;"",R32&lt;&gt;"",S32&lt;&gt;""),1,0)</f>
        <v>0</v>
      </c>
      <c r="AH32" s="1067">
        <f>IF(OR(G32&lt;&gt;"",I32&lt;&gt;"",L32&lt;&gt;"",N32&lt;&gt;"",T32&lt;&gt;""),1,0)</f>
        <v>0</v>
      </c>
      <c r="AI32" s="1067">
        <f>IF(OR(H32&lt;&gt;"",M32&lt;&gt;"",U32&lt;&gt;""),1,0)</f>
        <v>0</v>
      </c>
      <c r="AJ32" s="1070">
        <f>IF(AG32=1,1.5,IF(AH32=1,0.5,IF(AI32=1,0,-1)))</f>
        <v>-1</v>
      </c>
      <c r="AL32" s="1067">
        <f>IF(W32&lt;&gt;"",1,0)</f>
        <v>0</v>
      </c>
      <c r="AM32" s="1067">
        <f>IF(X32&lt;&gt;"",1,0)</f>
        <v>0</v>
      </c>
      <c r="AN32" s="1067">
        <f>IF(Z32&lt;&gt;"",1,0)</f>
        <v>0</v>
      </c>
      <c r="AO32" s="1070">
        <f>IF(AN32=1,1,IF(AM32=1,0.5,IF(AL32=1,0,-1)))</f>
        <v>-1</v>
      </c>
      <c r="AQ32" s="1067">
        <f>IF(AB32&lt;&gt;"",1,0)</f>
        <v>0</v>
      </c>
      <c r="AR32" s="1067">
        <f>IF(AC32&lt;&gt;"",1,0)</f>
        <v>0</v>
      </c>
      <c r="AS32" s="1067">
        <f>IF(AD32&lt;&gt;"",1,0)</f>
        <v>0</v>
      </c>
      <c r="AT32" s="1070">
        <f>IF(AS32=1,1,IF(AR32=1,0.5,IF(AQ32=1,0,-1)))</f>
        <v>-1</v>
      </c>
      <c r="AV32" s="1067">
        <f>AJ32+AO32+AT32</f>
        <v>-3</v>
      </c>
      <c r="AZ32" s="684">
        <v>0</v>
      </c>
      <c r="BA32" s="684">
        <v>2</v>
      </c>
      <c r="BB32" s="684">
        <v>0</v>
      </c>
      <c r="BC32" s="684" t="s">
        <v>216</v>
      </c>
      <c r="BD32" s="684">
        <v>0</v>
      </c>
    </row>
    <row r="33" spans="1:56" ht="32.25" customHeight="1" x14ac:dyDescent="0.35">
      <c r="A33" s="12"/>
      <c r="B33" s="668"/>
      <c r="C33" s="680"/>
      <c r="D33" s="1103"/>
      <c r="E33" s="1104"/>
      <c r="F33" s="1104"/>
      <c r="G33" s="1104"/>
      <c r="H33" s="1104"/>
      <c r="I33" s="1105"/>
      <c r="J33" s="1106"/>
      <c r="K33" s="1104"/>
      <c r="L33" s="1104"/>
      <c r="M33" s="1104"/>
      <c r="N33" s="1105"/>
      <c r="O33" s="1106"/>
      <c r="P33" s="1104"/>
      <c r="Q33" s="1104"/>
      <c r="R33" s="1104"/>
      <c r="S33" s="1104"/>
      <c r="T33" s="1104"/>
      <c r="U33" s="1104"/>
      <c r="V33" s="682"/>
      <c r="W33" s="1089"/>
      <c r="X33" s="1097"/>
      <c r="Y33" s="1097"/>
      <c r="Z33" s="1097"/>
      <c r="AA33" s="1087"/>
      <c r="AB33" s="1063"/>
      <c r="AC33" s="1065"/>
      <c r="AD33" s="1068"/>
      <c r="AE33" s="665"/>
      <c r="AG33" s="1067"/>
      <c r="AH33" s="1067"/>
      <c r="AI33" s="1067"/>
      <c r="AJ33" s="1070"/>
      <c r="AL33" s="1067"/>
      <c r="AM33" s="1067"/>
      <c r="AN33" s="1067"/>
      <c r="AO33" s="1070"/>
      <c r="AQ33" s="1067"/>
      <c r="AR33" s="1067"/>
      <c r="AS33" s="1067"/>
      <c r="AT33" s="1070"/>
      <c r="AV33" s="1067"/>
      <c r="AZ33" s="684">
        <v>0</v>
      </c>
      <c r="BA33" s="684">
        <v>2</v>
      </c>
      <c r="BB33" s="684">
        <v>1</v>
      </c>
      <c r="BC33" s="684" t="s">
        <v>216</v>
      </c>
      <c r="BD33" s="684">
        <v>1</v>
      </c>
    </row>
    <row r="34" spans="1:56" ht="32.25" customHeight="1" x14ac:dyDescent="0.35">
      <c r="A34" s="12"/>
      <c r="B34" s="668"/>
      <c r="C34" s="680" t="s">
        <v>99</v>
      </c>
      <c r="D34" s="1103"/>
      <c r="E34" s="1104"/>
      <c r="F34" s="1104"/>
      <c r="G34" s="1104"/>
      <c r="H34" s="1104"/>
      <c r="I34" s="1105"/>
      <c r="J34" s="1106"/>
      <c r="K34" s="1104"/>
      <c r="L34" s="1104"/>
      <c r="M34" s="1104"/>
      <c r="N34" s="1105"/>
      <c r="O34" s="1106"/>
      <c r="P34" s="1104"/>
      <c r="Q34" s="1104"/>
      <c r="R34" s="1104"/>
      <c r="S34" s="1104"/>
      <c r="T34" s="1104"/>
      <c r="U34" s="1104"/>
      <c r="V34" s="682" t="s">
        <v>580</v>
      </c>
      <c r="W34" s="1088"/>
      <c r="X34" s="1096"/>
      <c r="Y34" s="1096"/>
      <c r="Z34" s="1096"/>
      <c r="AA34" s="1086"/>
      <c r="AB34" s="1063"/>
      <c r="AC34" s="1065"/>
      <c r="AD34" s="1068"/>
      <c r="AE34" s="665"/>
      <c r="AG34" s="1067">
        <f>IF(OR(D34&lt;&gt;"",E34&lt;&gt;"",F34&lt;&gt;"",J34&lt;&gt;"",K34&lt;&gt;"",O34&lt;&gt;"",P34&lt;&gt;"",Q34&lt;&gt;"",R34&lt;&gt;"",S34&lt;&gt;""),1,0)</f>
        <v>0</v>
      </c>
      <c r="AH34" s="1067">
        <f>IF(OR(G34&lt;&gt;"",I34&lt;&gt;"",L34&lt;&gt;"",N34&lt;&gt;"",T34&lt;&gt;""),1,0)</f>
        <v>0</v>
      </c>
      <c r="AI34" s="1067">
        <f>IF(OR(H34&lt;&gt;"",M34&lt;&gt;"",U34&lt;&gt;""),1,0)</f>
        <v>0</v>
      </c>
      <c r="AJ34" s="1070">
        <f>IF(AG34=1,1.5,IF(AH34=1,0.5,IF(AI34=1,0,-1)))</f>
        <v>-1</v>
      </c>
      <c r="AL34" s="1067">
        <f>IF(W34&lt;&gt;"",1,0)</f>
        <v>0</v>
      </c>
      <c r="AM34" s="1067">
        <f>IF(X34&lt;&gt;"",1,0)</f>
        <v>0</v>
      </c>
      <c r="AN34" s="1067">
        <f>IF(Z34&lt;&gt;"",1,0)</f>
        <v>0</v>
      </c>
      <c r="AO34" s="1070">
        <f>IF(AN34=1,1,IF(AM34=1,0.5,IF(AL34=1,0,-1)))</f>
        <v>-1</v>
      </c>
      <c r="AQ34" s="1067">
        <f>IF(AB34&lt;&gt;"",1,0)</f>
        <v>0</v>
      </c>
      <c r="AR34" s="1067">
        <f>IF(AC34&lt;&gt;"",1,0)</f>
        <v>0</v>
      </c>
      <c r="AS34" s="1067">
        <f>IF(AD34&lt;&gt;"",1,0)</f>
        <v>0</v>
      </c>
      <c r="AT34" s="1070">
        <f>IF(AS34=1,1,IF(AR34=1,0.5,IF(AQ34=1,0,-1)))</f>
        <v>-1</v>
      </c>
      <c r="AV34" s="1067">
        <f>AJ34+AO34+AT34</f>
        <v>-3</v>
      </c>
      <c r="AZ34" s="684">
        <v>0</v>
      </c>
      <c r="BA34" s="684">
        <v>2</v>
      </c>
      <c r="BB34" s="684">
        <v>2</v>
      </c>
      <c r="BC34" s="684" t="s">
        <v>216</v>
      </c>
      <c r="BD34" s="684">
        <v>2</v>
      </c>
    </row>
    <row r="35" spans="1:56" ht="32.25" customHeight="1" x14ac:dyDescent="0.35">
      <c r="A35" s="12"/>
      <c r="B35" s="668"/>
      <c r="C35" s="680"/>
      <c r="D35" s="1103"/>
      <c r="E35" s="1104"/>
      <c r="F35" s="1104"/>
      <c r="G35" s="1104"/>
      <c r="H35" s="1104"/>
      <c r="I35" s="1105"/>
      <c r="J35" s="1106"/>
      <c r="K35" s="1104"/>
      <c r="L35" s="1104"/>
      <c r="M35" s="1104"/>
      <c r="N35" s="1105"/>
      <c r="O35" s="1106"/>
      <c r="P35" s="1104"/>
      <c r="Q35" s="1104"/>
      <c r="R35" s="1104"/>
      <c r="S35" s="1104"/>
      <c r="T35" s="1104"/>
      <c r="U35" s="1104"/>
      <c r="V35" s="682"/>
      <c r="W35" s="1089"/>
      <c r="X35" s="1097"/>
      <c r="Y35" s="1097"/>
      <c r="Z35" s="1097"/>
      <c r="AA35" s="1087"/>
      <c r="AB35" s="1063"/>
      <c r="AC35" s="1065"/>
      <c r="AD35" s="1068"/>
      <c r="AE35" s="665"/>
      <c r="AG35" s="1067"/>
      <c r="AH35" s="1067"/>
      <c r="AI35" s="1067"/>
      <c r="AJ35" s="1070"/>
      <c r="AL35" s="1067"/>
      <c r="AM35" s="1067"/>
      <c r="AN35" s="1067"/>
      <c r="AO35" s="1070"/>
      <c r="AQ35" s="1067"/>
      <c r="AR35" s="1067"/>
      <c r="AS35" s="1067"/>
      <c r="AT35" s="1070"/>
      <c r="AV35" s="1067"/>
    </row>
    <row r="36" spans="1:56" ht="32.25" customHeight="1" x14ac:dyDescent="0.35">
      <c r="A36" s="12"/>
      <c r="B36" s="668"/>
      <c r="C36" s="680" t="s">
        <v>100</v>
      </c>
      <c r="D36" s="1103"/>
      <c r="E36" s="1104"/>
      <c r="F36" s="1104"/>
      <c r="G36" s="1104"/>
      <c r="H36" s="1104"/>
      <c r="I36" s="1105"/>
      <c r="J36" s="1106"/>
      <c r="K36" s="1104"/>
      <c r="L36" s="1104"/>
      <c r="M36" s="1104"/>
      <c r="N36" s="1105"/>
      <c r="O36" s="1106"/>
      <c r="P36" s="1104"/>
      <c r="Q36" s="1104"/>
      <c r="R36" s="1104"/>
      <c r="S36" s="1104"/>
      <c r="T36" s="1104"/>
      <c r="U36" s="1104"/>
      <c r="V36" s="680" t="s">
        <v>100</v>
      </c>
      <c r="W36" s="1088"/>
      <c r="X36" s="1096"/>
      <c r="Y36" s="1096"/>
      <c r="Z36" s="1096"/>
      <c r="AA36" s="1086"/>
      <c r="AB36" s="1063"/>
      <c r="AC36" s="1065"/>
      <c r="AD36" s="1068"/>
      <c r="AE36" s="665"/>
      <c r="AG36" s="1067">
        <f>IF(OR(D36&lt;&gt;"",E36&lt;&gt;"",F36&lt;&gt;"",J36&lt;&gt;"",K36&lt;&gt;"",O36&lt;&gt;"",P36&lt;&gt;"",Q36&lt;&gt;"",R36&lt;&gt;"",S36&lt;&gt;""),1,0)</f>
        <v>0</v>
      </c>
      <c r="AH36" s="1067">
        <f>IF(OR(G36&lt;&gt;"",I36&lt;&gt;"",L36&lt;&gt;"",N36&lt;&gt;"",T36&lt;&gt;""),1,0)</f>
        <v>0</v>
      </c>
      <c r="AI36" s="1067">
        <f>IF(OR(H36&lt;&gt;"",M36&lt;&gt;"",U36&lt;&gt;""),1,0)</f>
        <v>0</v>
      </c>
      <c r="AJ36" s="1070">
        <f>IF(AG36=1,1.5,IF(AH36=1,0.5,IF(AI36=1,0,-1)))</f>
        <v>-1</v>
      </c>
      <c r="AL36" s="1067">
        <f>IF(W36&lt;&gt;"",1,0)</f>
        <v>0</v>
      </c>
      <c r="AM36" s="1067">
        <f>IF(X36&lt;&gt;"",1,0)</f>
        <v>0</v>
      </c>
      <c r="AN36" s="1067">
        <f>IF(Z36&lt;&gt;"",1,0)</f>
        <v>0</v>
      </c>
      <c r="AO36" s="1070">
        <f>IF(AN36=1,1,IF(AM36=1,0.5,IF(AL36=1,0,-1)))</f>
        <v>-1</v>
      </c>
      <c r="AQ36" s="1067">
        <f>IF(AB36&lt;&gt;"",1,0)</f>
        <v>0</v>
      </c>
      <c r="AR36" s="1067">
        <f>IF(AC36&lt;&gt;"",1,0)</f>
        <v>0</v>
      </c>
      <c r="AS36" s="1067">
        <f>IF(AD36&lt;&gt;"",1,0)</f>
        <v>0</v>
      </c>
      <c r="AT36" s="1070">
        <f>IF(AS36=1,1,IF(AR36=1,0.5,IF(AQ36=1,0,-1)))</f>
        <v>-1</v>
      </c>
      <c r="AV36" s="1067">
        <f>AJ36+AO36+AT36</f>
        <v>-3</v>
      </c>
    </row>
    <row r="37" spans="1:56" ht="32.25" customHeight="1" x14ac:dyDescent="0.35">
      <c r="A37" s="12"/>
      <c r="B37" s="668"/>
      <c r="C37" s="680"/>
      <c r="D37" s="1103"/>
      <c r="E37" s="1104"/>
      <c r="F37" s="1104"/>
      <c r="G37" s="1104"/>
      <c r="H37" s="1104"/>
      <c r="I37" s="1105"/>
      <c r="J37" s="1106"/>
      <c r="K37" s="1104"/>
      <c r="L37" s="1104"/>
      <c r="M37" s="1104"/>
      <c r="N37" s="1105"/>
      <c r="O37" s="1106"/>
      <c r="P37" s="1104"/>
      <c r="Q37" s="1104"/>
      <c r="R37" s="1104"/>
      <c r="S37" s="1104"/>
      <c r="T37" s="1104"/>
      <c r="U37" s="1104"/>
      <c r="V37" s="682"/>
      <c r="W37" s="1089"/>
      <c r="X37" s="1097"/>
      <c r="Y37" s="1097"/>
      <c r="Z37" s="1097"/>
      <c r="AA37" s="1087"/>
      <c r="AB37" s="1063"/>
      <c r="AC37" s="1065"/>
      <c r="AD37" s="1068"/>
      <c r="AE37" s="665"/>
      <c r="AG37" s="1067"/>
      <c r="AH37" s="1067"/>
      <c r="AI37" s="1067"/>
      <c r="AJ37" s="1070"/>
      <c r="AL37" s="1067"/>
      <c r="AM37" s="1067"/>
      <c r="AN37" s="1067"/>
      <c r="AO37" s="1070"/>
      <c r="AQ37" s="1067"/>
      <c r="AR37" s="1067"/>
      <c r="AS37" s="1067"/>
      <c r="AT37" s="1070"/>
      <c r="AV37" s="1067"/>
    </row>
    <row r="38" spans="1:56" ht="32.25" customHeight="1" x14ac:dyDescent="0.35">
      <c r="A38" s="12"/>
      <c r="B38" s="668"/>
      <c r="C38" s="680" t="s">
        <v>101</v>
      </c>
      <c r="D38" s="1103"/>
      <c r="E38" s="1104"/>
      <c r="F38" s="1104"/>
      <c r="G38" s="1104"/>
      <c r="H38" s="1104"/>
      <c r="I38" s="1105"/>
      <c r="J38" s="1106"/>
      <c r="K38" s="1104"/>
      <c r="L38" s="1104"/>
      <c r="M38" s="1104"/>
      <c r="N38" s="1105"/>
      <c r="O38" s="1106"/>
      <c r="P38" s="1104"/>
      <c r="Q38" s="1104"/>
      <c r="R38" s="1104"/>
      <c r="S38" s="1104"/>
      <c r="T38" s="1104"/>
      <c r="U38" s="1104"/>
      <c r="V38" s="682" t="s">
        <v>105</v>
      </c>
      <c r="W38" s="1088"/>
      <c r="X38" s="1096"/>
      <c r="Y38" s="1096"/>
      <c r="Z38" s="1096"/>
      <c r="AA38" s="1086"/>
      <c r="AB38" s="1063"/>
      <c r="AC38" s="1065"/>
      <c r="AD38" s="1068"/>
      <c r="AE38" s="665"/>
      <c r="AG38" s="1067">
        <f>IF(OR(D38&lt;&gt;"",E38&lt;&gt;"",F38&lt;&gt;"",J38&lt;&gt;"",K38&lt;&gt;"",O38&lt;&gt;"",P38&lt;&gt;"",Q38&lt;&gt;"",R38&lt;&gt;"",S38&lt;&gt;""),1,0)</f>
        <v>0</v>
      </c>
      <c r="AH38" s="1067">
        <f>IF(OR(G38&lt;&gt;"",I38&lt;&gt;"",L38&lt;&gt;"",N38&lt;&gt;"",T38&lt;&gt;""),1,0)</f>
        <v>0</v>
      </c>
      <c r="AI38" s="1067">
        <f>IF(OR(H38&lt;&gt;"",M38&lt;&gt;"",U38&lt;&gt;""),1,0)</f>
        <v>0</v>
      </c>
      <c r="AJ38" s="1070">
        <f>IF(AG38=1,1.5,IF(AH38=1,0.5,IF(AI38=1,0,-1)))</f>
        <v>-1</v>
      </c>
      <c r="AL38" s="1067">
        <f>IF(W38&lt;&gt;"",1,0)</f>
        <v>0</v>
      </c>
      <c r="AM38" s="1067">
        <f>IF(X38&lt;&gt;"",1,0)</f>
        <v>0</v>
      </c>
      <c r="AN38" s="1067">
        <f>IF(Z38&lt;&gt;"",1,0)</f>
        <v>0</v>
      </c>
      <c r="AO38" s="1070">
        <f>IF(AN38=1,1,IF(AM38=1,0.5,IF(AL38=1,0,-1)))</f>
        <v>-1</v>
      </c>
      <c r="AQ38" s="1067">
        <f>IF(AB38&lt;&gt;"",1,0)</f>
        <v>0</v>
      </c>
      <c r="AR38" s="1067">
        <f>IF(AC38&lt;&gt;"",1,0)</f>
        <v>0</v>
      </c>
      <c r="AS38" s="1067">
        <f>IF(AD38&lt;&gt;"",1,0)</f>
        <v>0</v>
      </c>
      <c r="AT38" s="1070">
        <f>IF(AS38=1,1,IF(AR38=1,0.5,IF(AQ38=1,0,-1)))</f>
        <v>-1</v>
      </c>
      <c r="AV38" s="1067">
        <f>AJ38+AO38+AT38</f>
        <v>-3</v>
      </c>
      <c r="AZ38" s="700" t="s">
        <v>53</v>
      </c>
      <c r="BA38" s="700">
        <v>-2</v>
      </c>
      <c r="BB38" s="701" t="s">
        <v>57</v>
      </c>
    </row>
    <row r="39" spans="1:56" ht="32.25" customHeight="1" x14ac:dyDescent="0.35">
      <c r="A39" s="12"/>
      <c r="B39" s="668"/>
      <c r="C39" s="680"/>
      <c r="D39" s="1103"/>
      <c r="E39" s="1104"/>
      <c r="F39" s="1104"/>
      <c r="G39" s="1104"/>
      <c r="H39" s="1104"/>
      <c r="I39" s="1105"/>
      <c r="J39" s="1106"/>
      <c r="K39" s="1104"/>
      <c r="L39" s="1104"/>
      <c r="M39" s="1104"/>
      <c r="N39" s="1105"/>
      <c r="O39" s="1106"/>
      <c r="P39" s="1104"/>
      <c r="Q39" s="1104"/>
      <c r="R39" s="1104"/>
      <c r="S39" s="1104"/>
      <c r="T39" s="1104"/>
      <c r="U39" s="1104"/>
      <c r="V39" s="682"/>
      <c r="W39" s="1089"/>
      <c r="X39" s="1097"/>
      <c r="Y39" s="1097"/>
      <c r="Z39" s="1097"/>
      <c r="AA39" s="1087"/>
      <c r="AB39" s="1063"/>
      <c r="AC39" s="1065"/>
      <c r="AD39" s="1068"/>
      <c r="AE39" s="665"/>
      <c r="AG39" s="1067"/>
      <c r="AH39" s="1067"/>
      <c r="AI39" s="1067"/>
      <c r="AJ39" s="1070"/>
      <c r="AL39" s="1067"/>
      <c r="AM39" s="1067"/>
      <c r="AN39" s="1067"/>
      <c r="AO39" s="1070"/>
      <c r="AQ39" s="1067"/>
      <c r="AR39" s="1067"/>
      <c r="AS39" s="1067"/>
      <c r="AT39" s="1070"/>
      <c r="AV39" s="1067"/>
      <c r="AZ39" s="700" t="s">
        <v>53</v>
      </c>
      <c r="BA39" s="700">
        <v>-1</v>
      </c>
      <c r="BB39" s="702">
        <v>0</v>
      </c>
    </row>
    <row r="40" spans="1:56" ht="32.25" customHeight="1" x14ac:dyDescent="0.35">
      <c r="A40" s="12"/>
      <c r="B40" s="668"/>
      <c r="C40" s="680" t="s">
        <v>102</v>
      </c>
      <c r="D40" s="1103"/>
      <c r="E40" s="1104"/>
      <c r="F40" s="1104"/>
      <c r="G40" s="1104"/>
      <c r="H40" s="1104"/>
      <c r="I40" s="1105"/>
      <c r="J40" s="1106"/>
      <c r="K40" s="1104"/>
      <c r="L40" s="1104"/>
      <c r="M40" s="1104"/>
      <c r="N40" s="1105"/>
      <c r="O40" s="1106"/>
      <c r="P40" s="1104"/>
      <c r="Q40" s="1104"/>
      <c r="R40" s="1104"/>
      <c r="S40" s="1104"/>
      <c r="T40" s="1104"/>
      <c r="U40" s="1104"/>
      <c r="V40" s="682" t="s">
        <v>102</v>
      </c>
      <c r="W40" s="1088"/>
      <c r="X40" s="1096"/>
      <c r="Y40" s="1096"/>
      <c r="Z40" s="1096"/>
      <c r="AA40" s="1086"/>
      <c r="AB40" s="1063"/>
      <c r="AC40" s="1065"/>
      <c r="AD40" s="1068"/>
      <c r="AE40" s="665"/>
      <c r="AG40" s="1067">
        <f>IF(OR(D40&lt;&gt;"",E40&lt;&gt;"",F40&lt;&gt;"",J40&lt;&gt;"",K40&lt;&gt;"",O40&lt;&gt;"",P40&lt;&gt;"",Q40&lt;&gt;"",R40&lt;&gt;"",S40&lt;&gt;""),1,0)</f>
        <v>0</v>
      </c>
      <c r="AH40" s="1067">
        <f>IF(OR(G40&lt;&gt;"",I40&lt;&gt;"",L40&lt;&gt;"",N40&lt;&gt;"",T40&lt;&gt;""),1,0)</f>
        <v>0</v>
      </c>
      <c r="AI40" s="1067">
        <f>IF(OR(H40&lt;&gt;"",M40&lt;&gt;"",U40&lt;&gt;""),1,0)</f>
        <v>0</v>
      </c>
      <c r="AJ40" s="1070">
        <f>IF(AG40=1,1.5,IF(AH40=1,0.5,IF(AI40=1,0,-1)))</f>
        <v>-1</v>
      </c>
      <c r="AL40" s="1067">
        <f>IF(W40&lt;&gt;"",1,0)</f>
        <v>0</v>
      </c>
      <c r="AM40" s="1067">
        <f>IF(X40&lt;&gt;"",1,0)</f>
        <v>0</v>
      </c>
      <c r="AN40" s="1067">
        <f>IF(Z40&lt;&gt;"",1,0)</f>
        <v>0</v>
      </c>
      <c r="AO40" s="1070">
        <f>IF(AN40=1,1,IF(AM40=1,0.5,IF(AL40=1,0,-1)))</f>
        <v>-1</v>
      </c>
      <c r="AQ40" s="1067">
        <f>IF(AB40&lt;&gt;"",1,0)</f>
        <v>0</v>
      </c>
      <c r="AR40" s="1067">
        <f>IF(AC40&lt;&gt;"",1,0)</f>
        <v>0</v>
      </c>
      <c r="AS40" s="1067">
        <f>IF(AD40&lt;&gt;"",1,0)</f>
        <v>0</v>
      </c>
      <c r="AT40" s="1070">
        <f>IF(AS40=1,1,IF(AR40=1,0.5,IF(AQ40=1,0,-1)))</f>
        <v>-1</v>
      </c>
      <c r="AV40" s="1067">
        <f>AJ40+AO40+AT40</f>
        <v>-3</v>
      </c>
      <c r="AZ40" s="700" t="s">
        <v>216</v>
      </c>
      <c r="BA40" s="700">
        <v>1</v>
      </c>
      <c r="BB40" s="702">
        <v>0.25</v>
      </c>
    </row>
    <row r="41" spans="1:56" ht="32.25" customHeight="1" x14ac:dyDescent="0.35">
      <c r="A41" s="12"/>
      <c r="B41" s="668"/>
      <c r="C41" s="680"/>
      <c r="D41" s="1103"/>
      <c r="E41" s="1104"/>
      <c r="F41" s="1104"/>
      <c r="G41" s="1104"/>
      <c r="H41" s="1104"/>
      <c r="I41" s="1105"/>
      <c r="J41" s="1106"/>
      <c r="K41" s="1104"/>
      <c r="L41" s="1104"/>
      <c r="M41" s="1104"/>
      <c r="N41" s="1105"/>
      <c r="O41" s="1106"/>
      <c r="P41" s="1104"/>
      <c r="Q41" s="1104"/>
      <c r="R41" s="1104"/>
      <c r="S41" s="1104"/>
      <c r="T41" s="1104"/>
      <c r="U41" s="1104"/>
      <c r="V41" s="682"/>
      <c r="W41" s="1089"/>
      <c r="X41" s="1097"/>
      <c r="Y41" s="1097"/>
      <c r="Z41" s="1097"/>
      <c r="AA41" s="1087"/>
      <c r="AB41" s="1063"/>
      <c r="AC41" s="1065"/>
      <c r="AD41" s="1068"/>
      <c r="AE41" s="665"/>
      <c r="AG41" s="1067"/>
      <c r="AH41" s="1067"/>
      <c r="AI41" s="1067"/>
      <c r="AJ41" s="1070"/>
      <c r="AL41" s="1067"/>
      <c r="AM41" s="1067"/>
      <c r="AN41" s="1067"/>
      <c r="AO41" s="1070"/>
      <c r="AQ41" s="1067"/>
      <c r="AR41" s="1067"/>
      <c r="AS41" s="1067"/>
      <c r="AT41" s="1070"/>
      <c r="AV41" s="1067"/>
      <c r="AZ41" s="700" t="s">
        <v>218</v>
      </c>
      <c r="BA41" s="700">
        <v>2</v>
      </c>
      <c r="BB41" s="702">
        <v>0.5</v>
      </c>
    </row>
    <row r="42" spans="1:56" ht="32.25" customHeight="1" x14ac:dyDescent="0.35">
      <c r="A42" s="12"/>
      <c r="B42" s="668"/>
      <c r="C42" s="680" t="s">
        <v>103</v>
      </c>
      <c r="D42" s="1103"/>
      <c r="E42" s="1104"/>
      <c r="F42" s="1104"/>
      <c r="G42" s="1104"/>
      <c r="H42" s="1104"/>
      <c r="I42" s="1105"/>
      <c r="J42" s="1106"/>
      <c r="K42" s="1104"/>
      <c r="L42" s="1104"/>
      <c r="M42" s="1104"/>
      <c r="N42" s="1105"/>
      <c r="O42" s="1106"/>
      <c r="P42" s="1104"/>
      <c r="Q42" s="1104"/>
      <c r="R42" s="1104"/>
      <c r="S42" s="1104"/>
      <c r="T42" s="1104"/>
      <c r="U42" s="1104"/>
      <c r="V42" s="682" t="s">
        <v>103</v>
      </c>
      <c r="W42" s="1088"/>
      <c r="X42" s="1096"/>
      <c r="Y42" s="1096"/>
      <c r="Z42" s="1096"/>
      <c r="AA42" s="1086"/>
      <c r="AB42" s="1063"/>
      <c r="AC42" s="1065"/>
      <c r="AD42" s="1068"/>
      <c r="AE42" s="665"/>
      <c r="AG42" s="1067">
        <f>IF(OR(D42&lt;&gt;"",E42&lt;&gt;"",F42&lt;&gt;"",J42&lt;&gt;"",K42&lt;&gt;"",O42&lt;&gt;"",P42&lt;&gt;"",Q42&lt;&gt;"",R42&lt;&gt;"",S42&lt;&gt;""),1,0)</f>
        <v>0</v>
      </c>
      <c r="AH42" s="1067">
        <f>IF(OR(G42&lt;&gt;"",I42&lt;&gt;"",L42&lt;&gt;"",N42&lt;&gt;"",T42&lt;&gt;""),1,0)</f>
        <v>0</v>
      </c>
      <c r="AI42" s="1067">
        <f>IF(OR(H42&lt;&gt;"",M42&lt;&gt;"",U42&lt;&gt;""),1,0)</f>
        <v>0</v>
      </c>
      <c r="AJ42" s="1070">
        <f>IF(AG42=1,1.5,IF(AH42=1,0.5,IF(AI42=1,0,-1)))</f>
        <v>-1</v>
      </c>
      <c r="AL42" s="1067">
        <f>IF(W42&lt;&gt;"",1,0)</f>
        <v>0</v>
      </c>
      <c r="AM42" s="1067">
        <f>IF(X42&lt;&gt;"",1,0)</f>
        <v>0</v>
      </c>
      <c r="AN42" s="1067">
        <f>IF(Z42&lt;&gt;"",1,0)</f>
        <v>0</v>
      </c>
      <c r="AO42" s="1070">
        <f>IF(AN42=1,1,IF(AM42=1,0.5,IF(AL42=1,0,-1)))</f>
        <v>-1</v>
      </c>
      <c r="AQ42" s="1067">
        <f>IF(AB42&lt;&gt;"",1,0)</f>
        <v>0</v>
      </c>
      <c r="AR42" s="1067">
        <f>IF(AC42&lt;&gt;"",1,0)</f>
        <v>0</v>
      </c>
      <c r="AS42" s="1067">
        <f>IF(AD42&lt;&gt;"",1,0)</f>
        <v>0</v>
      </c>
      <c r="AT42" s="1070">
        <f>IF(AS42=1,1,IF(AR42=1,0.5,IF(AQ42=1,0,-1)))</f>
        <v>-1</v>
      </c>
      <c r="AV42" s="1067">
        <f>AJ42+AO42+AT42</f>
        <v>-3</v>
      </c>
      <c r="AZ42" s="703" t="s">
        <v>570</v>
      </c>
      <c r="BA42" s="703">
        <v>2.5</v>
      </c>
      <c r="BB42" s="702">
        <v>0.75</v>
      </c>
    </row>
    <row r="43" spans="1:56" ht="32.25" customHeight="1" thickBot="1" x14ac:dyDescent="0.4">
      <c r="A43" s="12"/>
      <c r="B43" s="668"/>
      <c r="C43" s="681"/>
      <c r="D43" s="1103"/>
      <c r="E43" s="1104"/>
      <c r="F43" s="1104"/>
      <c r="G43" s="1104"/>
      <c r="H43" s="1104"/>
      <c r="I43" s="1105"/>
      <c r="J43" s="1106"/>
      <c r="K43" s="1104"/>
      <c r="L43" s="1104"/>
      <c r="M43" s="1104"/>
      <c r="N43" s="1105"/>
      <c r="O43" s="1106"/>
      <c r="P43" s="1104"/>
      <c r="Q43" s="1104"/>
      <c r="R43" s="1104"/>
      <c r="S43" s="1104"/>
      <c r="T43" s="1104"/>
      <c r="U43" s="1104"/>
      <c r="V43" s="683"/>
      <c r="W43" s="1100"/>
      <c r="X43" s="1102"/>
      <c r="Y43" s="1102"/>
      <c r="Z43" s="1102"/>
      <c r="AA43" s="1098"/>
      <c r="AB43" s="1064"/>
      <c r="AC43" s="1066"/>
      <c r="AD43" s="1069"/>
      <c r="AE43" s="665"/>
      <c r="AG43" s="1067"/>
      <c r="AH43" s="1067"/>
      <c r="AI43" s="1067"/>
      <c r="AJ43" s="1070"/>
      <c r="AL43" s="1067"/>
      <c r="AM43" s="1067"/>
      <c r="AN43" s="1067"/>
      <c r="AO43" s="1070"/>
      <c r="AQ43" s="1067"/>
      <c r="AR43" s="1067"/>
      <c r="AS43" s="1067"/>
      <c r="AT43" s="1070"/>
      <c r="AV43" s="1067"/>
      <c r="AZ43" s="700" t="s">
        <v>571</v>
      </c>
      <c r="BA43" s="700">
        <v>3</v>
      </c>
      <c r="BB43" s="702">
        <v>1</v>
      </c>
    </row>
    <row r="44" spans="1:56" ht="34.5" customHeight="1" x14ac:dyDescent="0.35">
      <c r="A44" s="12"/>
      <c r="B44" s="668"/>
      <c r="C44" s="669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1"/>
      <c r="W44" s="670"/>
      <c r="X44" s="670"/>
      <c r="Y44" s="670"/>
      <c r="Z44" s="670"/>
      <c r="AA44" s="670"/>
      <c r="AB44" s="664"/>
      <c r="AC44" s="664"/>
      <c r="AD44" s="664"/>
      <c r="AE44" s="665"/>
      <c r="AI44" s="21" t="s">
        <v>55</v>
      </c>
      <c r="AJ44">
        <f>MAX(AJ22:AJ43)</f>
        <v>-1</v>
      </c>
      <c r="AN44" s="21" t="s">
        <v>55</v>
      </c>
      <c r="AO44">
        <f>MAX(AO22:AO43)</f>
        <v>-1</v>
      </c>
      <c r="AS44" s="21" t="s">
        <v>55</v>
      </c>
      <c r="AT44">
        <f>MAX(AT22:AT43)</f>
        <v>-1</v>
      </c>
      <c r="AV44" s="698">
        <f>AJ44+AO44+AT44</f>
        <v>-3</v>
      </c>
      <c r="AW44" t="s">
        <v>52</v>
      </c>
    </row>
    <row r="45" spans="1:56" ht="29.25" customHeight="1" thickBot="1" x14ac:dyDescent="0.4">
      <c r="A45" s="12"/>
      <c r="B45" s="668"/>
      <c r="C45" s="665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71"/>
      <c r="W45" s="670"/>
      <c r="X45" s="670"/>
      <c r="Y45" s="670"/>
      <c r="Z45" s="670"/>
      <c r="AA45" s="670"/>
      <c r="AB45" s="664"/>
      <c r="AC45" s="664"/>
      <c r="AD45" s="664"/>
      <c r="AE45" s="665"/>
      <c r="AV45" s="699">
        <f>IF(MIN(AJ44,AO44,AT44)=-1,1,0)</f>
        <v>1</v>
      </c>
      <c r="AW45" s="21" t="s">
        <v>54</v>
      </c>
    </row>
    <row r="46" spans="1:56" ht="37.5" customHeight="1" x14ac:dyDescent="0.5">
      <c r="A46" s="12"/>
      <c r="B46" s="668"/>
      <c r="C46" s="665"/>
      <c r="D46" s="1052" t="s">
        <v>63</v>
      </c>
      <c r="E46" s="1052"/>
      <c r="F46" s="1052"/>
      <c r="G46" s="1057" t="str">
        <f>IF($AV$44=-2,"Completare i dati",IF($AV$44&lt;=0.5,"Evaluation not necessary","Evaluation necessary"))</f>
        <v>Evaluation not necessary</v>
      </c>
      <c r="H46" s="1058"/>
      <c r="I46" s="1058"/>
      <c r="J46" s="1058"/>
      <c r="K46" s="1058"/>
      <c r="L46" s="1058"/>
      <c r="M46" s="1058"/>
      <c r="N46" s="1058"/>
      <c r="O46" s="1058"/>
      <c r="P46" s="1058"/>
      <c r="Q46" s="1058"/>
      <c r="R46" s="1058"/>
      <c r="S46" s="1058"/>
      <c r="T46" s="1058"/>
      <c r="U46" s="1059"/>
      <c r="V46" s="664"/>
      <c r="W46" s="664" t="s">
        <v>31</v>
      </c>
      <c r="X46" s="664"/>
      <c r="Y46" s="664"/>
      <c r="Z46" s="664"/>
      <c r="AA46" s="664"/>
      <c r="AB46" s="664"/>
      <c r="AC46" s="664"/>
      <c r="AD46" s="664"/>
      <c r="AE46" s="665"/>
      <c r="AV46" s="685">
        <f>IF($AV$47=0,0,LOOKUP($AV$44,$BA$38:$BA$43,$BB$38:$BB$43))</f>
        <v>0</v>
      </c>
      <c r="AW46" s="21" t="s">
        <v>56</v>
      </c>
    </row>
    <row r="47" spans="1:56" ht="33" customHeight="1" thickBot="1" x14ac:dyDescent="0.55000000000000004">
      <c r="A47" s="12"/>
      <c r="B47" s="668"/>
      <c r="C47" s="665"/>
      <c r="D47" s="1053"/>
      <c r="E47" s="1053"/>
      <c r="F47" s="1053"/>
      <c r="G47" s="1060" t="e">
        <f>LOOKUP($AV$44,$BA$38:$BA$43,$AZ$38:$AZ$43)</f>
        <v>#N/A</v>
      </c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1"/>
      <c r="T47" s="1061"/>
      <c r="U47" s="1062"/>
      <c r="V47" s="664"/>
      <c r="W47" s="664"/>
      <c r="X47" s="664"/>
      <c r="Y47" s="664"/>
      <c r="Z47" s="664"/>
      <c r="AA47" s="664"/>
      <c r="AB47" s="664"/>
      <c r="AC47" s="664"/>
      <c r="AD47" s="664"/>
      <c r="AE47" s="665"/>
      <c r="AV47" s="699">
        <f>'HAZARDS-GEN'!$T$224</f>
        <v>0</v>
      </c>
      <c r="AW47" s="22" t="s">
        <v>58</v>
      </c>
    </row>
    <row r="48" spans="1:56" ht="33" customHeight="1" x14ac:dyDescent="0.2">
      <c r="B48" s="667"/>
      <c r="C48" s="666"/>
      <c r="D48" s="672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66"/>
    </row>
    <row r="49" spans="2:30" ht="33" hidden="1" customHeight="1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2:30" hidden="1" x14ac:dyDescent="0.2">
      <c r="B50" s="12"/>
    </row>
    <row r="51" spans="2:30" hidden="1" x14ac:dyDescent="0.2">
      <c r="B51" s="12"/>
    </row>
    <row r="52" spans="2:30" hidden="1" x14ac:dyDescent="0.2">
      <c r="B52" s="12"/>
    </row>
    <row r="53" spans="2:30" hidden="1" x14ac:dyDescent="0.2">
      <c r="B53" s="12"/>
    </row>
    <row r="54" spans="2:30" hidden="1" x14ac:dyDescent="0.2">
      <c r="B54" s="12"/>
    </row>
    <row r="55" spans="2:30" hidden="1" x14ac:dyDescent="0.2">
      <c r="B55" s="12"/>
    </row>
    <row r="56" spans="2:30" hidden="1" x14ac:dyDescent="0.2">
      <c r="B56" s="12"/>
    </row>
    <row r="57" spans="2:30" hidden="1" x14ac:dyDescent="0.2">
      <c r="B57" s="12"/>
    </row>
    <row r="58" spans="2:30" hidden="1" x14ac:dyDescent="0.2">
      <c r="B58" s="12"/>
    </row>
    <row r="59" spans="2:30" hidden="1" x14ac:dyDescent="0.2">
      <c r="B59" s="12"/>
    </row>
    <row r="60" spans="2:30" hidden="1" x14ac:dyDescent="0.2">
      <c r="B60" s="12"/>
    </row>
    <row r="61" spans="2:30" hidden="1" x14ac:dyDescent="0.2">
      <c r="B61" s="12"/>
    </row>
    <row r="62" spans="2:30" hidden="1" x14ac:dyDescent="0.2">
      <c r="B62" s="12"/>
    </row>
    <row r="63" spans="2:30" hidden="1" x14ac:dyDescent="0.2">
      <c r="B63" s="12"/>
    </row>
    <row r="64" spans="2:30" hidden="1" x14ac:dyDescent="0.2">
      <c r="B64" s="12"/>
    </row>
    <row r="65" spans="2:2" hidden="1" x14ac:dyDescent="0.2">
      <c r="B65" s="12"/>
    </row>
    <row r="66" spans="2:2" hidden="1" x14ac:dyDescent="0.2">
      <c r="B66" s="12"/>
    </row>
    <row r="67" spans="2:2" hidden="1" x14ac:dyDescent="0.2">
      <c r="B67" s="12"/>
    </row>
    <row r="68" spans="2:2" hidden="1" x14ac:dyDescent="0.2">
      <c r="B68" s="12"/>
    </row>
    <row r="69" spans="2:2" hidden="1" x14ac:dyDescent="0.2">
      <c r="B69" s="12"/>
    </row>
    <row r="70" spans="2:2" hidden="1" x14ac:dyDescent="0.2">
      <c r="B70" s="12"/>
    </row>
    <row r="71" spans="2:2" hidden="1" x14ac:dyDescent="0.2">
      <c r="B71" s="12"/>
    </row>
    <row r="72" spans="2:2" hidden="1" x14ac:dyDescent="0.2">
      <c r="B72" s="12"/>
    </row>
    <row r="73" spans="2:2" hidden="1" x14ac:dyDescent="0.2">
      <c r="B73" s="12"/>
    </row>
    <row r="74" spans="2:2" hidden="1" x14ac:dyDescent="0.2">
      <c r="B74" s="12"/>
    </row>
    <row r="75" spans="2:2" hidden="1" x14ac:dyDescent="0.2">
      <c r="B75" s="12"/>
    </row>
    <row r="76" spans="2:2" hidden="1" x14ac:dyDescent="0.2">
      <c r="B76" s="12"/>
    </row>
    <row r="77" spans="2:2" hidden="1" x14ac:dyDescent="0.2">
      <c r="B77" s="12"/>
    </row>
    <row r="78" spans="2:2" hidden="1" x14ac:dyDescent="0.2">
      <c r="B78" s="12"/>
    </row>
    <row r="79" spans="2:2" hidden="1" x14ac:dyDescent="0.2">
      <c r="B79" s="12"/>
    </row>
    <row r="80" spans="2:2" hidden="1" x14ac:dyDescent="0.2">
      <c r="B80" s="12"/>
    </row>
    <row r="81" spans="2:2" hidden="1" x14ac:dyDescent="0.2">
      <c r="B81" s="12"/>
    </row>
    <row r="82" spans="2:2" hidden="1" x14ac:dyDescent="0.2">
      <c r="B82" s="12"/>
    </row>
  </sheetData>
  <sheetProtection password="BD29" sheet="1" objects="1" scenarios="1"/>
  <mergeCells count="462">
    <mergeCell ref="K42:K43"/>
    <mergeCell ref="L42:L43"/>
    <mergeCell ref="M42:M43"/>
    <mergeCell ref="T42:T43"/>
    <mergeCell ref="S40:S41"/>
    <mergeCell ref="K40:K41"/>
    <mergeCell ref="L40:L41"/>
    <mergeCell ref="M40:M41"/>
    <mergeCell ref="Q42:Q43"/>
    <mergeCell ref="Q40:Q41"/>
    <mergeCell ref="P42:P43"/>
    <mergeCell ref="O40:O41"/>
    <mergeCell ref="P40:P41"/>
    <mergeCell ref="N40:N41"/>
    <mergeCell ref="N42:N43"/>
    <mergeCell ref="O42:O43"/>
    <mergeCell ref="U36:U37"/>
    <mergeCell ref="R42:R43"/>
    <mergeCell ref="S42:S43"/>
    <mergeCell ref="R40:R41"/>
    <mergeCell ref="U42:U43"/>
    <mergeCell ref="U40:U41"/>
    <mergeCell ref="U38:U39"/>
    <mergeCell ref="T40:T41"/>
    <mergeCell ref="S38:S39"/>
    <mergeCell ref="T38:T39"/>
    <mergeCell ref="T36:T37"/>
    <mergeCell ref="S32:S33"/>
    <mergeCell ref="M38:M39"/>
    <mergeCell ref="O38:O39"/>
    <mergeCell ref="P38:P39"/>
    <mergeCell ref="O36:O37"/>
    <mergeCell ref="R36:R37"/>
    <mergeCell ref="S36:S37"/>
    <mergeCell ref="P36:P37"/>
    <mergeCell ref="Q38:Q39"/>
    <mergeCell ref="R38:R39"/>
    <mergeCell ref="Q36:Q37"/>
    <mergeCell ref="M36:M37"/>
    <mergeCell ref="N36:N37"/>
    <mergeCell ref="N38:N39"/>
    <mergeCell ref="L26:L27"/>
    <mergeCell ref="M26:M27"/>
    <mergeCell ref="O34:O35"/>
    <mergeCell ref="T34:T35"/>
    <mergeCell ref="L34:L35"/>
    <mergeCell ref="M34:M35"/>
    <mergeCell ref="N34:N35"/>
    <mergeCell ref="P34:P35"/>
    <mergeCell ref="P30:P31"/>
    <mergeCell ref="Q30:Q31"/>
    <mergeCell ref="R30:R31"/>
    <mergeCell ref="L32:L33"/>
    <mergeCell ref="M32:M33"/>
    <mergeCell ref="N32:N33"/>
    <mergeCell ref="O32:O33"/>
    <mergeCell ref="T30:T31"/>
    <mergeCell ref="M30:M31"/>
    <mergeCell ref="P32:P33"/>
    <mergeCell ref="L30:L31"/>
    <mergeCell ref="Q28:Q29"/>
    <mergeCell ref="S34:S35"/>
    <mergeCell ref="Q34:Q35"/>
    <mergeCell ref="T32:T33"/>
    <mergeCell ref="R34:R35"/>
    <mergeCell ref="O24:O25"/>
    <mergeCell ref="N26:N27"/>
    <mergeCell ref="U22:U23"/>
    <mergeCell ref="Q22:Q23"/>
    <mergeCell ref="R22:R23"/>
    <mergeCell ref="U24:U25"/>
    <mergeCell ref="S24:S25"/>
    <mergeCell ref="S26:S27"/>
    <mergeCell ref="T26:T27"/>
    <mergeCell ref="Q26:Q27"/>
    <mergeCell ref="R26:R27"/>
    <mergeCell ref="U26:U27"/>
    <mergeCell ref="U28:U29"/>
    <mergeCell ref="T28:T29"/>
    <mergeCell ref="K32:K33"/>
    <mergeCell ref="K34:K35"/>
    <mergeCell ref="J32:J33"/>
    <mergeCell ref="I30:I31"/>
    <mergeCell ref="J38:J39"/>
    <mergeCell ref="K38:K39"/>
    <mergeCell ref="L38:L39"/>
    <mergeCell ref="L36:L37"/>
    <mergeCell ref="K36:K37"/>
    <mergeCell ref="I32:I33"/>
    <mergeCell ref="I34:I35"/>
    <mergeCell ref="J34:J35"/>
    <mergeCell ref="J30:J31"/>
    <mergeCell ref="K30:K31"/>
    <mergeCell ref="J28:J29"/>
    <mergeCell ref="K28:K29"/>
    <mergeCell ref="L28:L29"/>
    <mergeCell ref="M28:M29"/>
    <mergeCell ref="U34:U35"/>
    <mergeCell ref="U32:U33"/>
    <mergeCell ref="Q32:Q33"/>
    <mergeCell ref="R32:R33"/>
    <mergeCell ref="H42:H43"/>
    <mergeCell ref="I42:I43"/>
    <mergeCell ref="G38:G39"/>
    <mergeCell ref="H38:H39"/>
    <mergeCell ref="G40:G41"/>
    <mergeCell ref="H40:H41"/>
    <mergeCell ref="I40:I41"/>
    <mergeCell ref="J36:J37"/>
    <mergeCell ref="J42:J43"/>
    <mergeCell ref="J40:J41"/>
    <mergeCell ref="I38:I39"/>
    <mergeCell ref="D40:D41"/>
    <mergeCell ref="E40:E41"/>
    <mergeCell ref="F40:F41"/>
    <mergeCell ref="D42:D43"/>
    <mergeCell ref="E42:E43"/>
    <mergeCell ref="F42:F43"/>
    <mergeCell ref="F36:F37"/>
    <mergeCell ref="G42:G43"/>
    <mergeCell ref="D38:D39"/>
    <mergeCell ref="E38:E39"/>
    <mergeCell ref="F38:F39"/>
    <mergeCell ref="D34:D35"/>
    <mergeCell ref="F34:F35"/>
    <mergeCell ref="D36:D37"/>
    <mergeCell ref="E36:E37"/>
    <mergeCell ref="E34:E35"/>
    <mergeCell ref="H36:H37"/>
    <mergeCell ref="I36:I37"/>
    <mergeCell ref="I26:I27"/>
    <mergeCell ref="G32:G33"/>
    <mergeCell ref="G30:G31"/>
    <mergeCell ref="H30:H31"/>
    <mergeCell ref="G36:G37"/>
    <mergeCell ref="E30:E31"/>
    <mergeCell ref="F30:F31"/>
    <mergeCell ref="D32:D33"/>
    <mergeCell ref="E32:E33"/>
    <mergeCell ref="F32:F33"/>
    <mergeCell ref="G34:G35"/>
    <mergeCell ref="G28:G29"/>
    <mergeCell ref="H32:H33"/>
    <mergeCell ref="H34:H35"/>
    <mergeCell ref="H28:H29"/>
    <mergeCell ref="I28:I29"/>
    <mergeCell ref="R18:S18"/>
    <mergeCell ref="O18:Q18"/>
    <mergeCell ref="O17:U17"/>
    <mergeCell ref="J17:N17"/>
    <mergeCell ref="E18:F18"/>
    <mergeCell ref="D17:I17"/>
    <mergeCell ref="I22:I23"/>
    <mergeCell ref="L24:L25"/>
    <mergeCell ref="J22:J23"/>
    <mergeCell ref="N22:N23"/>
    <mergeCell ref="L22:L23"/>
    <mergeCell ref="M22:M23"/>
    <mergeCell ref="M24:M25"/>
    <mergeCell ref="O22:O23"/>
    <mergeCell ref="P22:P23"/>
    <mergeCell ref="N24:N25"/>
    <mergeCell ref="K22:K23"/>
    <mergeCell ref="J24:J25"/>
    <mergeCell ref="K24:K25"/>
    <mergeCell ref="T24:T25"/>
    <mergeCell ref="R24:R25"/>
    <mergeCell ref="S22:S23"/>
    <mergeCell ref="T22:T23"/>
    <mergeCell ref="P24:P25"/>
    <mergeCell ref="F22:F23"/>
    <mergeCell ref="X30:X31"/>
    <mergeCell ref="D24:D25"/>
    <mergeCell ref="E24:E25"/>
    <mergeCell ref="F24:F25"/>
    <mergeCell ref="H22:H23"/>
    <mergeCell ref="D30:D31"/>
    <mergeCell ref="I24:I25"/>
    <mergeCell ref="G24:G25"/>
    <mergeCell ref="H24:H25"/>
    <mergeCell ref="O26:O27"/>
    <mergeCell ref="P26:P27"/>
    <mergeCell ref="J26:J27"/>
    <mergeCell ref="K26:K27"/>
    <mergeCell ref="U30:U31"/>
    <mergeCell ref="P28:P29"/>
    <mergeCell ref="S30:S31"/>
    <mergeCell ref="N30:N31"/>
    <mergeCell ref="O30:O31"/>
    <mergeCell ref="Q24:Q25"/>
    <mergeCell ref="N28:N29"/>
    <mergeCell ref="R28:R29"/>
    <mergeCell ref="S28:S29"/>
    <mergeCell ref="O28:O29"/>
    <mergeCell ref="W40:W41"/>
    <mergeCell ref="Y22:Y23"/>
    <mergeCell ref="D28:D29"/>
    <mergeCell ref="E28:E29"/>
    <mergeCell ref="F28:F29"/>
    <mergeCell ref="G22:G23"/>
    <mergeCell ref="D22:D23"/>
    <mergeCell ref="E22:E23"/>
    <mergeCell ref="Y30:Y31"/>
    <mergeCell ref="Y28:Y29"/>
    <mergeCell ref="D26:D27"/>
    <mergeCell ref="E26:E27"/>
    <mergeCell ref="F26:F27"/>
    <mergeCell ref="G26:G27"/>
    <mergeCell ref="H26:H27"/>
    <mergeCell ref="X22:X23"/>
    <mergeCell ref="W36:W37"/>
    <mergeCell ref="Y24:Y25"/>
    <mergeCell ref="W22:W23"/>
    <mergeCell ref="W24:W25"/>
    <mergeCell ref="W26:W27"/>
    <mergeCell ref="X28:X29"/>
    <mergeCell ref="X24:X25"/>
    <mergeCell ref="X26:X27"/>
    <mergeCell ref="W42:W43"/>
    <mergeCell ref="W28:W29"/>
    <mergeCell ref="W30:W31"/>
    <mergeCell ref="W32:W33"/>
    <mergeCell ref="W34:W35"/>
    <mergeCell ref="AA40:AA41"/>
    <mergeCell ref="Y38:Y39"/>
    <mergeCell ref="Z20:AA20"/>
    <mergeCell ref="Y40:Y41"/>
    <mergeCell ref="X36:X37"/>
    <mergeCell ref="X40:X41"/>
    <mergeCell ref="Y36:Y37"/>
    <mergeCell ref="AA22:AA23"/>
    <mergeCell ref="Z22:Z23"/>
    <mergeCell ref="Z24:Z25"/>
    <mergeCell ref="Z34:Z35"/>
    <mergeCell ref="X42:X43"/>
    <mergeCell ref="Y42:Y43"/>
    <mergeCell ref="AA36:AA37"/>
    <mergeCell ref="X38:X39"/>
    <mergeCell ref="Z38:Z39"/>
    <mergeCell ref="AA38:AA39"/>
    <mergeCell ref="Z36:Z37"/>
    <mergeCell ref="Z42:Z43"/>
    <mergeCell ref="Z40:Z41"/>
    <mergeCell ref="Z32:Z33"/>
    <mergeCell ref="AA42:AA43"/>
    <mergeCell ref="AA24:AA25"/>
    <mergeCell ref="AA30:AA31"/>
    <mergeCell ref="X34:X35"/>
    <mergeCell ref="Y34:Y35"/>
    <mergeCell ref="AA34:AA35"/>
    <mergeCell ref="Y32:Y33"/>
    <mergeCell ref="X32:X33"/>
    <mergeCell ref="Y26:Y27"/>
    <mergeCell ref="Z26:Z27"/>
    <mergeCell ref="Z28:Z29"/>
    <mergeCell ref="Z30:Z31"/>
    <mergeCell ref="AB40:AB41"/>
    <mergeCell ref="AC40:AC41"/>
    <mergeCell ref="AB36:AB37"/>
    <mergeCell ref="AC36:AC37"/>
    <mergeCell ref="AC30:AC31"/>
    <mergeCell ref="AD30:AD31"/>
    <mergeCell ref="AC32:AC33"/>
    <mergeCell ref="AD32:AD33"/>
    <mergeCell ref="AD20:AD21"/>
    <mergeCell ref="AD24:AD25"/>
    <mergeCell ref="AB26:AB27"/>
    <mergeCell ref="AC26:AC27"/>
    <mergeCell ref="AD26:AD27"/>
    <mergeCell ref="AD28:AD29"/>
    <mergeCell ref="AB32:AB33"/>
    <mergeCell ref="W17:AD18"/>
    <mergeCell ref="AB38:AB39"/>
    <mergeCell ref="AC38:AC39"/>
    <mergeCell ref="AD38:AD39"/>
    <mergeCell ref="AB28:AB29"/>
    <mergeCell ref="AC28:AC29"/>
    <mergeCell ref="AD34:AD35"/>
    <mergeCell ref="AB24:AB25"/>
    <mergeCell ref="AC24:AC25"/>
    <mergeCell ref="AB19:AD19"/>
    <mergeCell ref="AB22:AB23"/>
    <mergeCell ref="AC22:AC23"/>
    <mergeCell ref="AD22:AD23"/>
    <mergeCell ref="AB20:AB21"/>
    <mergeCell ref="AC20:AC21"/>
    <mergeCell ref="AB30:AB31"/>
    <mergeCell ref="AB34:AB35"/>
    <mergeCell ref="AD36:AD37"/>
    <mergeCell ref="AA32:AA33"/>
    <mergeCell ref="AA28:AA29"/>
    <mergeCell ref="AA26:AA27"/>
    <mergeCell ref="W38:W39"/>
    <mergeCell ref="W19:AA19"/>
    <mergeCell ref="X20:Y20"/>
    <mergeCell ref="AG20:AJ20"/>
    <mergeCell ref="AL20:AO20"/>
    <mergeCell ref="AG22:AG23"/>
    <mergeCell ref="AH22:AH23"/>
    <mergeCell ref="AI22:AI23"/>
    <mergeCell ref="AJ22:AJ23"/>
    <mergeCell ref="AL22:AL23"/>
    <mergeCell ref="AM22:AM23"/>
    <mergeCell ref="AN22:AN23"/>
    <mergeCell ref="AO22:AO23"/>
    <mergeCell ref="AV22:AV23"/>
    <mergeCell ref="AG24:AG25"/>
    <mergeCell ref="AH24:AH25"/>
    <mergeCell ref="AI24:AI25"/>
    <mergeCell ref="AJ24:AJ25"/>
    <mergeCell ref="AL24:AL25"/>
    <mergeCell ref="AQ22:AQ23"/>
    <mergeCell ref="AR22:AR23"/>
    <mergeCell ref="AS22:AS23"/>
    <mergeCell ref="AT22:AT23"/>
    <mergeCell ref="AO24:AO25"/>
    <mergeCell ref="AQ24:AQ25"/>
    <mergeCell ref="AV24:AV25"/>
    <mergeCell ref="AT24:AT25"/>
    <mergeCell ref="AR24:AR25"/>
    <mergeCell ref="AS24:AS25"/>
    <mergeCell ref="AG32:AG33"/>
    <mergeCell ref="AH32:AH33"/>
    <mergeCell ref="AI32:AI33"/>
    <mergeCell ref="AJ32:AJ33"/>
    <mergeCell ref="AG30:AG31"/>
    <mergeCell ref="AH30:AH31"/>
    <mergeCell ref="AO40:AO41"/>
    <mergeCell ref="AO26:AO27"/>
    <mergeCell ref="AG28:AG29"/>
    <mergeCell ref="AH28:AH29"/>
    <mergeCell ref="AI28:AI29"/>
    <mergeCell ref="AG26:AG27"/>
    <mergeCell ref="AH26:AH27"/>
    <mergeCell ref="AI26:AI27"/>
    <mergeCell ref="AJ26:AJ27"/>
    <mergeCell ref="AL28:AL29"/>
    <mergeCell ref="AM28:AM29"/>
    <mergeCell ref="AL26:AL27"/>
    <mergeCell ref="AM26:AM27"/>
    <mergeCell ref="AN26:AN27"/>
    <mergeCell ref="AJ28:AJ29"/>
    <mergeCell ref="AN28:AN29"/>
    <mergeCell ref="AO28:AO29"/>
    <mergeCell ref="AG40:AG41"/>
    <mergeCell ref="AH40:AH41"/>
    <mergeCell ref="AG34:AG35"/>
    <mergeCell ref="AH34:AH35"/>
    <mergeCell ref="AG38:AG39"/>
    <mergeCell ref="AH38:AH39"/>
    <mergeCell ref="AI40:AI41"/>
    <mergeCell ref="AJ40:AJ41"/>
    <mergeCell ref="AI34:AI35"/>
    <mergeCell ref="AJ34:AJ35"/>
    <mergeCell ref="AI38:AI39"/>
    <mergeCell ref="AJ38:AJ39"/>
    <mergeCell ref="AI36:AI37"/>
    <mergeCell ref="AJ36:AJ37"/>
    <mergeCell ref="AQ28:AQ29"/>
    <mergeCell ref="AM40:AM41"/>
    <mergeCell ref="AN36:AN37"/>
    <mergeCell ref="AO36:AO37"/>
    <mergeCell ref="AL34:AL35"/>
    <mergeCell ref="AM34:AM35"/>
    <mergeCell ref="AN34:AN35"/>
    <mergeCell ref="AS28:AS29"/>
    <mergeCell ref="AO34:AO35"/>
    <mergeCell ref="AM38:AM39"/>
    <mergeCell ref="AN38:AN39"/>
    <mergeCell ref="AO38:AO39"/>
    <mergeCell ref="AL32:AL33"/>
    <mergeCell ref="AM32:AM33"/>
    <mergeCell ref="AL36:AL37"/>
    <mergeCell ref="AM36:AM37"/>
    <mergeCell ref="AN32:AN33"/>
    <mergeCell ref="AO32:AO33"/>
    <mergeCell ref="AO30:AO31"/>
    <mergeCell ref="AM42:AM43"/>
    <mergeCell ref="AO42:AO43"/>
    <mergeCell ref="AQ42:AQ43"/>
    <mergeCell ref="AV40:AV41"/>
    <mergeCell ref="AV42:AV43"/>
    <mergeCell ref="AV32:AV33"/>
    <mergeCell ref="AV34:AV35"/>
    <mergeCell ref="AV36:AV37"/>
    <mergeCell ref="AV38:AV39"/>
    <mergeCell ref="AS36:AS37"/>
    <mergeCell ref="AT36:AT37"/>
    <mergeCell ref="AQ38:AQ39"/>
    <mergeCell ref="AR38:AR39"/>
    <mergeCell ref="AR36:AR37"/>
    <mergeCell ref="AR42:AR43"/>
    <mergeCell ref="AS42:AS43"/>
    <mergeCell ref="AT42:AT43"/>
    <mergeCell ref="AQ40:AQ41"/>
    <mergeCell ref="AR40:AR41"/>
    <mergeCell ref="AQ34:AQ35"/>
    <mergeCell ref="AR34:AR35"/>
    <mergeCell ref="AS34:AS35"/>
    <mergeCell ref="AS40:AS41"/>
    <mergeCell ref="AT40:AT41"/>
    <mergeCell ref="AV26:AV27"/>
    <mergeCell ref="AV28:AV29"/>
    <mergeCell ref="AV30:AV31"/>
    <mergeCell ref="AS38:AS39"/>
    <mergeCell ref="AT38:AT39"/>
    <mergeCell ref="AQ36:AQ37"/>
    <mergeCell ref="AL38:AL39"/>
    <mergeCell ref="AT34:AT35"/>
    <mergeCell ref="AT30:AT31"/>
    <mergeCell ref="AQ32:AQ33"/>
    <mergeCell ref="AR32:AR33"/>
    <mergeCell ref="AS32:AS33"/>
    <mergeCell ref="AT32:AT33"/>
    <mergeCell ref="AQ30:AQ31"/>
    <mergeCell ref="AR30:AR31"/>
    <mergeCell ref="AS30:AS31"/>
    <mergeCell ref="AT28:AT29"/>
    <mergeCell ref="AQ26:AQ27"/>
    <mergeCell ref="AT26:AT27"/>
    <mergeCell ref="AR26:AR27"/>
    <mergeCell ref="AS26:AS27"/>
    <mergeCell ref="AL30:AL31"/>
    <mergeCell ref="AM30:AM31"/>
    <mergeCell ref="AR28:AR29"/>
    <mergeCell ref="D46:F47"/>
    <mergeCell ref="D11:K12"/>
    <mergeCell ref="G46:U46"/>
    <mergeCell ref="G47:U47"/>
    <mergeCell ref="AB42:AB43"/>
    <mergeCell ref="AC42:AC43"/>
    <mergeCell ref="AC34:AC35"/>
    <mergeCell ref="AL40:AL41"/>
    <mergeCell ref="AN42:AN43"/>
    <mergeCell ref="AN40:AN41"/>
    <mergeCell ref="AD42:AD43"/>
    <mergeCell ref="AD40:AD41"/>
    <mergeCell ref="AG36:AG37"/>
    <mergeCell ref="AH36:AH37"/>
    <mergeCell ref="AG42:AG43"/>
    <mergeCell ref="AH42:AH43"/>
    <mergeCell ref="AI42:AI43"/>
    <mergeCell ref="AJ42:AJ43"/>
    <mergeCell ref="AM24:AM25"/>
    <mergeCell ref="AN24:AN25"/>
    <mergeCell ref="AI30:AI31"/>
    <mergeCell ref="AJ30:AJ31"/>
    <mergeCell ref="AN30:AN31"/>
    <mergeCell ref="AL42:AL43"/>
    <mergeCell ref="D14:U16"/>
    <mergeCell ref="W14:AD16"/>
    <mergeCell ref="B2:AD2"/>
    <mergeCell ref="B4:C4"/>
    <mergeCell ref="D4:F4"/>
    <mergeCell ref="W4:X4"/>
    <mergeCell ref="B6:C6"/>
    <mergeCell ref="D6:F6"/>
    <mergeCell ref="V6:W7"/>
    <mergeCell ref="B9:AC9"/>
    <mergeCell ref="Y4:AD4"/>
    <mergeCell ref="Z6:AD6"/>
    <mergeCell ref="Z7:AD7"/>
  </mergeCells>
  <phoneticPr fontId="2" type="noConversion"/>
  <conditionalFormatting sqref="G46:G47">
    <cfRule type="expression" dxfId="58" priority="7" stopIfTrue="1">
      <formula>OR(AV44=0.5,AV44=1,AV44=1.5,AV44=2,AV44=2.5)</formula>
    </cfRule>
  </conditionalFormatting>
  <conditionalFormatting sqref="G46:G47">
    <cfRule type="expression" dxfId="57" priority="5" stopIfTrue="1">
      <formula>$AV$44&gt;=3</formula>
    </cfRule>
    <cfRule type="expression" dxfId="56" priority="6" stopIfTrue="1">
      <formula>$AV$44=0</formula>
    </cfRule>
  </conditionalFormatting>
  <pageMargins left="0.91" right="0.57999999999999996" top="0.51181102362204722" bottom="0.21" header="0.51181102362204722" footer="0.12"/>
  <pageSetup paperSize="9" scale="4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tabSelected="1" zoomScale="64" zoomScaleNormal="64" zoomScaleSheetLayoutView="50" workbookViewId="0"/>
  </sheetViews>
  <sheetFormatPr defaultColWidth="0" defaultRowHeight="12.75" zeroHeight="1" x14ac:dyDescent="0.2"/>
  <cols>
    <col min="1" max="1" width="2.85546875" style="7" customWidth="1"/>
    <col min="2" max="2" width="10.140625" style="7" customWidth="1"/>
    <col min="3" max="3" width="18.85546875" style="7" customWidth="1"/>
    <col min="4" max="4" width="20.140625" style="7" customWidth="1"/>
    <col min="5" max="5" width="8.85546875" style="7" customWidth="1"/>
    <col min="6" max="6" width="7.140625" style="7" customWidth="1"/>
    <col min="7" max="7" width="21.7109375" style="7" customWidth="1"/>
    <col min="8" max="8" width="8.140625" style="7" customWidth="1"/>
    <col min="9" max="9" width="6.85546875" style="8" customWidth="1"/>
    <col min="10" max="10" width="24.42578125" style="7" customWidth="1"/>
    <col min="11" max="11" width="10.7109375" style="7" customWidth="1"/>
    <col min="12" max="12" width="25.42578125" style="8" customWidth="1"/>
    <col min="13" max="13" width="11.140625" style="7" customWidth="1"/>
    <col min="14" max="14" width="10" style="7" customWidth="1"/>
    <col min="15" max="15" width="8.85546875" style="7" customWidth="1"/>
    <col min="16" max="16" width="7.140625" style="7" customWidth="1"/>
    <col min="17" max="17" width="4.85546875" style="7" customWidth="1"/>
    <col min="18" max="18" width="15.140625" style="7" bestFit="1" customWidth="1"/>
    <col min="19" max="19" width="3.140625" style="7" customWidth="1"/>
    <col min="20" max="21" width="8.85546875" style="7" hidden="1" customWidth="1"/>
    <col min="22" max="22" width="30.28515625" style="7" hidden="1" customWidth="1"/>
    <col min="23" max="23" width="7.85546875" style="7" hidden="1" customWidth="1"/>
    <col min="24" max="24" width="6.7109375" style="7" hidden="1" customWidth="1"/>
    <col min="25" max="25" width="10.140625" style="7" hidden="1" customWidth="1"/>
    <col min="26" max="26" width="8.85546875" style="7" hidden="1" customWidth="1"/>
    <col min="27" max="32" width="6.7109375" style="7" hidden="1" customWidth="1"/>
    <col min="33" max="33" width="8.85546875" style="7" hidden="1" customWidth="1"/>
    <col min="34" max="34" width="15.42578125" style="7" hidden="1" customWidth="1"/>
    <col min="35" max="41" width="0" style="7" hidden="1" customWidth="1"/>
    <col min="42" max="16384" width="8.85546875" style="7" hidden="1"/>
  </cols>
  <sheetData>
    <row r="1" spans="1:41" ht="21.75" customHeight="1" x14ac:dyDescent="0.2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7"/>
    </row>
    <row r="2" spans="1:41" ht="138" customHeight="1" x14ac:dyDescent="0.8">
      <c r="A2" s="161"/>
      <c r="B2" s="1130" t="s">
        <v>508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59"/>
    </row>
    <row r="3" spans="1:41" ht="22.5" customHeight="1" x14ac:dyDescent="0.2">
      <c r="A3" s="161"/>
      <c r="B3" s="338"/>
      <c r="C3" s="158" t="s">
        <v>591</v>
      </c>
      <c r="D3" s="339"/>
      <c r="E3" s="339"/>
      <c r="F3" s="339"/>
      <c r="G3" s="339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520" t="str">
        <f>'HAZARDS-GEN'!N3</f>
        <v>V. 06/07/2015</v>
      </c>
      <c r="S3" s="159"/>
    </row>
    <row r="4" spans="1:41" ht="12" customHeight="1" x14ac:dyDescent="0.2">
      <c r="A4" s="161"/>
      <c r="B4" s="36"/>
      <c r="C4" s="124"/>
      <c r="D4" s="124"/>
      <c r="E4" s="124"/>
      <c r="F4" s="124"/>
      <c r="G4" s="12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59"/>
    </row>
    <row r="5" spans="1:41" ht="13.5" customHeight="1" x14ac:dyDescent="0.2">
      <c r="A5" s="161"/>
      <c r="B5" s="36"/>
      <c r="C5" s="124"/>
      <c r="D5" s="124"/>
      <c r="E5" s="124"/>
      <c r="F5" s="124"/>
      <c r="G5" s="124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59"/>
    </row>
    <row r="6" spans="1:41" ht="44.1" customHeight="1" x14ac:dyDescent="0.8">
      <c r="A6" s="161"/>
      <c r="B6" s="1131" t="s">
        <v>423</v>
      </c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3"/>
      <c r="S6" s="159"/>
    </row>
    <row r="7" spans="1:41" ht="24.75" customHeight="1" x14ac:dyDescent="0.2">
      <c r="A7" s="161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59"/>
    </row>
    <row r="8" spans="1:41" ht="27" customHeight="1" x14ac:dyDescent="0.2">
      <c r="A8" s="341"/>
      <c r="B8" s="904" t="s">
        <v>66</v>
      </c>
      <c r="C8" s="908"/>
      <c r="D8" s="886" t="str">
        <f>'HAZARDS-GEN'!D11:F11</f>
        <v>xxxxxxxx</v>
      </c>
      <c r="E8" s="887"/>
      <c r="F8" s="887"/>
      <c r="G8" s="887"/>
      <c r="H8" s="887"/>
      <c r="I8" s="888"/>
      <c r="J8" s="36"/>
      <c r="K8" s="36"/>
      <c r="L8" s="904" t="s">
        <v>59</v>
      </c>
      <c r="M8" s="904"/>
      <c r="N8" s="886" t="str">
        <f>IF('HAZARDS-GEN'!$J$11="","",'HAZARDS-GEN'!$J$11)</f>
        <v>xxxxxxxxxxxx</v>
      </c>
      <c r="O8" s="887"/>
      <c r="P8" s="887"/>
      <c r="Q8" s="887"/>
      <c r="R8" s="888"/>
      <c r="S8" s="159"/>
    </row>
    <row r="9" spans="1:41" ht="10.5" customHeight="1" x14ac:dyDescent="0.25">
      <c r="A9" s="341"/>
      <c r="B9" s="36"/>
      <c r="C9" s="342"/>
      <c r="D9" s="39"/>
      <c r="E9" s="39"/>
      <c r="F9" s="39"/>
      <c r="G9" s="40"/>
      <c r="H9" s="36"/>
      <c r="I9" s="36"/>
      <c r="J9" s="36"/>
      <c r="K9" s="36"/>
      <c r="L9" s="42"/>
      <c r="M9" s="43"/>
      <c r="N9" s="43"/>
      <c r="O9" s="43"/>
      <c r="P9" s="43"/>
      <c r="Q9" s="43"/>
      <c r="R9" s="167"/>
      <c r="S9" s="159"/>
    </row>
    <row r="10" spans="1:41" ht="27.75" customHeight="1" x14ac:dyDescent="0.2">
      <c r="A10" s="341"/>
      <c r="B10" s="904" t="s">
        <v>112</v>
      </c>
      <c r="C10" s="908"/>
      <c r="D10" s="886" t="str">
        <f>'HAZARDS-GEN'!D13:F13</f>
        <v>xxxxxxxxxxxx</v>
      </c>
      <c r="E10" s="887"/>
      <c r="F10" s="887"/>
      <c r="G10" s="887"/>
      <c r="H10" s="887"/>
      <c r="I10" s="888"/>
      <c r="J10" s="36"/>
      <c r="K10" s="36"/>
      <c r="L10" s="905" t="s">
        <v>287</v>
      </c>
      <c r="M10" s="905"/>
      <c r="N10" s="688" t="s">
        <v>243</v>
      </c>
      <c r="O10" s="292" t="str">
        <f>'MANUAL HANDLING'!K6</f>
        <v/>
      </c>
      <c r="P10" s="290"/>
      <c r="Q10" s="290"/>
      <c r="R10" s="291"/>
      <c r="S10" s="159"/>
    </row>
    <row r="11" spans="1:41" ht="28.5" customHeight="1" x14ac:dyDescent="0.2">
      <c r="A11" s="341"/>
      <c r="B11" s="36"/>
      <c r="C11" s="51"/>
      <c r="D11" s="40"/>
      <c r="E11" s="40"/>
      <c r="F11" s="40"/>
      <c r="G11" s="46"/>
      <c r="H11" s="36"/>
      <c r="I11" s="36"/>
      <c r="J11" s="36"/>
      <c r="K11" s="36"/>
      <c r="L11" s="905"/>
      <c r="M11" s="905"/>
      <c r="N11" s="688" t="s">
        <v>244</v>
      </c>
      <c r="O11" s="292" t="str">
        <f>'MANUAL HANDLING'!K7</f>
        <v/>
      </c>
      <c r="P11" s="290"/>
      <c r="Q11" s="290"/>
      <c r="R11" s="291"/>
      <c r="S11" s="159"/>
    </row>
    <row r="12" spans="1:41" ht="12.75" customHeight="1" x14ac:dyDescent="0.2">
      <c r="A12" s="161"/>
      <c r="B12" s="36"/>
      <c r="C12" s="51"/>
      <c r="D12" s="54"/>
      <c r="E12" s="54"/>
      <c r="F12" s="54"/>
      <c r="G12" s="51"/>
      <c r="H12" s="36"/>
      <c r="I12" s="36"/>
      <c r="J12" s="36"/>
      <c r="K12" s="36"/>
      <c r="L12" s="54"/>
      <c r="M12" s="54"/>
      <c r="N12" s="54"/>
      <c r="O12" s="36"/>
      <c r="P12" s="36"/>
      <c r="Q12" s="36"/>
      <c r="R12" s="36"/>
      <c r="S12" s="159"/>
    </row>
    <row r="13" spans="1:41" s="8" customFormat="1" ht="11.25" customHeight="1" x14ac:dyDescent="0.2">
      <c r="A13" s="161"/>
      <c r="B13" s="36"/>
      <c r="C13" s="51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36"/>
      <c r="P13" s="36"/>
      <c r="Q13" s="36"/>
      <c r="R13" s="36"/>
      <c r="S13" s="15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8" customFormat="1" ht="14.25" customHeight="1" x14ac:dyDescent="0.2">
      <c r="A14" s="161"/>
      <c r="B14" s="760" t="s">
        <v>13</v>
      </c>
      <c r="C14" s="1134" t="s">
        <v>187</v>
      </c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5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8" customFormat="1" ht="14.25" customHeight="1" x14ac:dyDescent="0.2">
      <c r="A15" s="161"/>
      <c r="B15" s="760"/>
      <c r="C15" s="1134"/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  <c r="O15" s="1135"/>
      <c r="P15" s="1135"/>
      <c r="Q15" s="1135"/>
      <c r="R15" s="1135"/>
      <c r="S15" s="15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8" customFormat="1" ht="20.25" customHeight="1" x14ac:dyDescent="0.2">
      <c r="A16" s="161"/>
      <c r="B16" s="760"/>
      <c r="C16" s="1134"/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5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3.5" customHeight="1" x14ac:dyDescent="0.2">
      <c r="A17" s="161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59"/>
    </row>
    <row r="18" spans="1:41" ht="17.25" customHeight="1" x14ac:dyDescent="0.2">
      <c r="A18" s="161"/>
      <c r="B18" s="1140" t="s">
        <v>14</v>
      </c>
      <c r="C18" s="1125" t="s">
        <v>107</v>
      </c>
      <c r="D18" s="1126"/>
      <c r="E18" s="1126"/>
      <c r="F18" s="1126"/>
      <c r="G18" s="1126"/>
      <c r="H18" s="1126"/>
      <c r="I18" s="1126"/>
      <c r="J18" s="1126"/>
      <c r="K18" s="1127" t="str">
        <f>IF('REPETITIVE-MOV'!R13=0,"Not present",IF('REPETITIVE-MOV'!S88=0,"Present. Please, proceed to the sheet REPETITIVE-MOV","Present"))</f>
        <v>Not present</v>
      </c>
      <c r="L18" s="1127"/>
      <c r="M18" s="1127"/>
      <c r="N18" s="1128"/>
      <c r="O18" s="1119"/>
      <c r="P18" s="1120"/>
      <c r="Q18" s="36"/>
      <c r="R18" s="1141" t="str">
        <f>'REPETITIVE-MOV'!V89</f>
        <v/>
      </c>
      <c r="S18" s="159"/>
    </row>
    <row r="19" spans="1:41" ht="12" customHeight="1" x14ac:dyDescent="0.2">
      <c r="A19" s="161"/>
      <c r="B19" s="1140"/>
      <c r="C19" s="1125"/>
      <c r="D19" s="1126"/>
      <c r="E19" s="1126"/>
      <c r="F19" s="1126"/>
      <c r="G19" s="1126"/>
      <c r="H19" s="1126"/>
      <c r="I19" s="1126"/>
      <c r="J19" s="1126"/>
      <c r="K19" s="1127"/>
      <c r="L19" s="1127"/>
      <c r="M19" s="1127"/>
      <c r="N19" s="1128"/>
      <c r="O19" s="1121"/>
      <c r="P19" s="1122"/>
      <c r="Q19" s="36"/>
      <c r="R19" s="1141"/>
      <c r="S19" s="159"/>
    </row>
    <row r="20" spans="1:41" ht="20.25" customHeight="1" x14ac:dyDescent="0.2">
      <c r="A20" s="161"/>
      <c r="B20" s="1140"/>
      <c r="C20" s="1125"/>
      <c r="D20" s="1126"/>
      <c r="E20" s="1126"/>
      <c r="F20" s="1126"/>
      <c r="G20" s="1126"/>
      <c r="H20" s="1126"/>
      <c r="I20" s="1126"/>
      <c r="J20" s="1126"/>
      <c r="K20" s="1127"/>
      <c r="L20" s="1127"/>
      <c r="M20" s="1127"/>
      <c r="N20" s="1128"/>
      <c r="O20" s="1123"/>
      <c r="P20" s="1124"/>
      <c r="Q20" s="167"/>
      <c r="R20" s="1141"/>
      <c r="S20" s="159"/>
    </row>
    <row r="21" spans="1:41" ht="27" customHeight="1" x14ac:dyDescent="0.3">
      <c r="A21" s="161"/>
      <c r="B21" s="54"/>
      <c r="C21" s="1129" t="str">
        <f>CONCATENATE('REPETITIVE-MOV'!E88," ",'REPETITIVE-MOV'!E89)</f>
        <v xml:space="preserve">Working condition is not present. </v>
      </c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36"/>
      <c r="P21" s="36"/>
      <c r="Q21" s="168"/>
      <c r="R21" s="490"/>
      <c r="S21" s="159"/>
    </row>
    <row r="22" spans="1:41" ht="8.25" customHeight="1" x14ac:dyDescent="0.2">
      <c r="A22" s="161"/>
      <c r="B22" s="5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25"/>
      <c r="S22" s="159"/>
    </row>
    <row r="23" spans="1:41" s="10" customFormat="1" ht="25.5" customHeight="1" x14ac:dyDescent="0.2">
      <c r="A23" s="162"/>
      <c r="B23" s="1140" t="s">
        <v>16</v>
      </c>
      <c r="C23" s="1125" t="s">
        <v>545</v>
      </c>
      <c r="D23" s="1126"/>
      <c r="E23" s="1126"/>
      <c r="F23" s="1126"/>
      <c r="G23" s="1126"/>
      <c r="H23" s="1126"/>
      <c r="I23" s="1126"/>
      <c r="J23" s="1126"/>
      <c r="K23" s="1127" t="str">
        <f>IF('MANUAL HANDLING'!P15=0,"Not present",IF('MANUAL HANDLING'!Q55=0,"Present. Please, proceed to the sheet MANUAL HANDLING","Present"))</f>
        <v>Not present</v>
      </c>
      <c r="L23" s="1127"/>
      <c r="M23" s="1127"/>
      <c r="N23" s="1128"/>
      <c r="O23" s="1119"/>
      <c r="P23" s="1120"/>
      <c r="Q23" s="169"/>
      <c r="R23" s="1141">
        <f>'MANUAL HANDLING'!$U$89</f>
        <v>0</v>
      </c>
      <c r="S23" s="16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10" customFormat="1" ht="12" customHeight="1" x14ac:dyDescent="0.2">
      <c r="A24" s="162"/>
      <c r="B24" s="1140"/>
      <c r="C24" s="1125"/>
      <c r="D24" s="1126"/>
      <c r="E24" s="1126"/>
      <c r="F24" s="1126"/>
      <c r="G24" s="1126"/>
      <c r="H24" s="1126"/>
      <c r="I24" s="1126"/>
      <c r="J24" s="1126"/>
      <c r="K24" s="1127"/>
      <c r="L24" s="1127"/>
      <c r="M24" s="1127"/>
      <c r="N24" s="1128"/>
      <c r="O24" s="1121"/>
      <c r="P24" s="1122"/>
      <c r="Q24" s="169"/>
      <c r="R24" s="1141"/>
      <c r="S24" s="160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0" customFormat="1" ht="23.25" customHeight="1" x14ac:dyDescent="0.2">
      <c r="A25" s="162"/>
      <c r="B25" s="1140"/>
      <c r="C25" s="1125"/>
      <c r="D25" s="1126"/>
      <c r="E25" s="1126"/>
      <c r="F25" s="1126"/>
      <c r="G25" s="1126"/>
      <c r="H25" s="1126"/>
      <c r="I25" s="1126"/>
      <c r="J25" s="1126"/>
      <c r="K25" s="1127"/>
      <c r="L25" s="1127"/>
      <c r="M25" s="1127"/>
      <c r="N25" s="1128"/>
      <c r="O25" s="1123"/>
      <c r="P25" s="1124"/>
      <c r="Q25" s="169"/>
      <c r="R25" s="1141"/>
      <c r="S25" s="160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7" customHeight="1" x14ac:dyDescent="0.3">
      <c r="A26" s="161"/>
      <c r="B26" s="54"/>
      <c r="C26" s="1129" t="str">
        <f>CONCATENATE('MANUAL HANDLING'!D162," ",'MANUAL HANDLING'!D163)</f>
        <v xml:space="preserve">Working condition is not present. </v>
      </c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36"/>
      <c r="P26" s="36"/>
      <c r="Q26" s="36"/>
      <c r="R26" s="490"/>
      <c r="S26" s="159"/>
    </row>
    <row r="27" spans="1:41" ht="19.5" customHeight="1" x14ac:dyDescent="0.2">
      <c r="A27" s="161"/>
      <c r="B27" s="5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25"/>
      <c r="S27" s="159"/>
    </row>
    <row r="28" spans="1:41" s="8" customFormat="1" ht="12" customHeight="1" x14ac:dyDescent="0.2">
      <c r="A28" s="161"/>
      <c r="B28" s="1140" t="s">
        <v>17</v>
      </c>
      <c r="C28" s="1125" t="s">
        <v>517</v>
      </c>
      <c r="D28" s="1126"/>
      <c r="E28" s="1126"/>
      <c r="F28" s="1126"/>
      <c r="G28" s="1126"/>
      <c r="H28" s="1126"/>
      <c r="I28" s="1126"/>
      <c r="J28" s="1126"/>
      <c r="K28" s="1127" t="str">
        <f>IF('MANUAL HANDLING'!P93=0,"Not present",IF('MANUAL HANDLING'!P97=0,"Present. Please, proceed to the sheet MANUAL HANDLING","Present"))</f>
        <v>Present</v>
      </c>
      <c r="L28" s="1127"/>
      <c r="M28" s="1127"/>
      <c r="N28" s="1128"/>
      <c r="O28" s="1119"/>
      <c r="P28" s="1120"/>
      <c r="Q28" s="36"/>
      <c r="R28" s="1141" t="e">
        <f>'MANUAL HANDLING'!$Y$107</f>
        <v>#DIV/0!</v>
      </c>
      <c r="S28" s="159"/>
    </row>
    <row r="29" spans="1:41" ht="12" customHeight="1" x14ac:dyDescent="0.2">
      <c r="A29" s="161"/>
      <c r="B29" s="1140"/>
      <c r="C29" s="1125"/>
      <c r="D29" s="1126"/>
      <c r="E29" s="1126"/>
      <c r="F29" s="1126"/>
      <c r="G29" s="1126"/>
      <c r="H29" s="1126"/>
      <c r="I29" s="1126"/>
      <c r="J29" s="1126"/>
      <c r="K29" s="1127"/>
      <c r="L29" s="1127"/>
      <c r="M29" s="1127"/>
      <c r="N29" s="1128"/>
      <c r="O29" s="1121"/>
      <c r="P29" s="1122"/>
      <c r="Q29" s="36"/>
      <c r="R29" s="1141"/>
      <c r="S29" s="159"/>
    </row>
    <row r="30" spans="1:41" ht="31.5" customHeight="1" x14ac:dyDescent="0.2">
      <c r="A30" s="161"/>
      <c r="B30" s="1140"/>
      <c r="C30" s="1125"/>
      <c r="D30" s="1126"/>
      <c r="E30" s="1126"/>
      <c r="F30" s="1126"/>
      <c r="G30" s="1126"/>
      <c r="H30" s="1126"/>
      <c r="I30" s="1126"/>
      <c r="J30" s="1126"/>
      <c r="K30" s="1127"/>
      <c r="L30" s="1127"/>
      <c r="M30" s="1127"/>
      <c r="N30" s="1128"/>
      <c r="O30" s="1123"/>
      <c r="P30" s="1124"/>
      <c r="Q30" s="36"/>
      <c r="R30" s="1141"/>
      <c r="S30" s="159"/>
    </row>
    <row r="31" spans="1:41" ht="27" customHeight="1" x14ac:dyDescent="0.2">
      <c r="A31" s="161"/>
      <c r="B31" s="54"/>
      <c r="C31" s="1129" t="e">
        <f>CONCATENATE('MANUAL HANDLING'!D168," ",'MANUAL HANDLING'!D169)</f>
        <v>#DIV/0!</v>
      </c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36"/>
      <c r="P31" s="36"/>
      <c r="Q31" s="36"/>
      <c r="R31" s="325"/>
      <c r="S31" s="159"/>
    </row>
    <row r="32" spans="1:41" s="8" customFormat="1" ht="15.75" customHeight="1" x14ac:dyDescent="0.2">
      <c r="A32" s="161"/>
      <c r="B32" s="54"/>
      <c r="C32" s="59"/>
      <c r="D32" s="59"/>
      <c r="E32" s="59"/>
      <c r="F32" s="59"/>
      <c r="G32" s="59"/>
      <c r="H32" s="59"/>
      <c r="I32" s="59"/>
      <c r="J32" s="59"/>
      <c r="K32" s="176"/>
      <c r="L32" s="36"/>
      <c r="M32" s="36"/>
      <c r="N32" s="36"/>
      <c r="O32" s="36"/>
      <c r="P32" s="36"/>
      <c r="Q32" s="36"/>
      <c r="R32" s="325"/>
      <c r="S32" s="159"/>
    </row>
    <row r="33" spans="1:41" ht="12" customHeight="1" x14ac:dyDescent="0.2">
      <c r="A33" s="161"/>
      <c r="B33" s="1140" t="s">
        <v>18</v>
      </c>
      <c r="C33" s="1125" t="s">
        <v>587</v>
      </c>
      <c r="D33" s="1126"/>
      <c r="E33" s="1126"/>
      <c r="F33" s="1126"/>
      <c r="G33" s="1126"/>
      <c r="H33" s="1126"/>
      <c r="I33" s="1126"/>
      <c r="J33" s="1126"/>
      <c r="K33" s="1127" t="str">
        <f>IF('MANUAL HANDLING'!P116=0,"Not present",IF('MANUAL HANDLING'!W158=0,"Present. Please, proceed to the sheet MANUAL HANDLING","Present"))</f>
        <v>Not present</v>
      </c>
      <c r="L33" s="1127"/>
      <c r="M33" s="1127"/>
      <c r="N33" s="1128"/>
      <c r="O33" s="1119"/>
      <c r="P33" s="1120"/>
      <c r="Q33" s="36"/>
      <c r="R33" s="1141">
        <f>'MANUAL HANDLING'!$V$159</f>
        <v>0</v>
      </c>
      <c r="S33" s="159"/>
    </row>
    <row r="34" spans="1:41" ht="12" customHeight="1" x14ac:dyDescent="0.2">
      <c r="A34" s="161"/>
      <c r="B34" s="1140"/>
      <c r="C34" s="1125"/>
      <c r="D34" s="1126"/>
      <c r="E34" s="1126"/>
      <c r="F34" s="1126"/>
      <c r="G34" s="1126"/>
      <c r="H34" s="1126"/>
      <c r="I34" s="1126"/>
      <c r="J34" s="1126"/>
      <c r="K34" s="1127"/>
      <c r="L34" s="1127"/>
      <c r="M34" s="1127"/>
      <c r="N34" s="1128"/>
      <c r="O34" s="1121"/>
      <c r="P34" s="1122"/>
      <c r="Q34" s="36"/>
      <c r="R34" s="1141"/>
      <c r="S34" s="159"/>
    </row>
    <row r="35" spans="1:41" ht="23.25" customHeight="1" x14ac:dyDescent="0.2">
      <c r="A35" s="161"/>
      <c r="B35" s="1140"/>
      <c r="C35" s="1125"/>
      <c r="D35" s="1126"/>
      <c r="E35" s="1126"/>
      <c r="F35" s="1126"/>
      <c r="G35" s="1126"/>
      <c r="H35" s="1126"/>
      <c r="I35" s="1126"/>
      <c r="J35" s="1126"/>
      <c r="K35" s="1127"/>
      <c r="L35" s="1127"/>
      <c r="M35" s="1127"/>
      <c r="N35" s="1128"/>
      <c r="O35" s="1123"/>
      <c r="P35" s="1124"/>
      <c r="Q35" s="36"/>
      <c r="R35" s="1141"/>
      <c r="S35" s="159"/>
    </row>
    <row r="36" spans="1:41" ht="27" customHeight="1" x14ac:dyDescent="0.2">
      <c r="A36" s="161"/>
      <c r="B36" s="54"/>
      <c r="C36" s="1129" t="str">
        <f>CONCATENATE('MANUAL HANDLING'!D177," ",'MANUAL HANDLING'!D178)</f>
        <v xml:space="preserve">Working condition is not present. </v>
      </c>
      <c r="D36" s="1129"/>
      <c r="E36" s="1129"/>
      <c r="F36" s="1129"/>
      <c r="G36" s="1129"/>
      <c r="H36" s="1129"/>
      <c r="I36" s="1129"/>
      <c r="J36" s="1129"/>
      <c r="K36" s="1129"/>
      <c r="L36" s="1129"/>
      <c r="M36" s="1129"/>
      <c r="N36" s="1129"/>
      <c r="O36" s="36"/>
      <c r="P36" s="36"/>
      <c r="Q36" s="36"/>
      <c r="R36" s="325"/>
      <c r="S36" s="159"/>
    </row>
    <row r="37" spans="1:41" ht="20.25" customHeight="1" x14ac:dyDescent="0.45">
      <c r="A37" s="161"/>
      <c r="B37" s="54"/>
      <c r="C37" s="174"/>
      <c r="D37" s="174"/>
      <c r="E37" s="71"/>
      <c r="F37" s="71"/>
      <c r="G37" s="71"/>
      <c r="H37" s="71"/>
      <c r="I37" s="71"/>
      <c r="J37" s="71"/>
      <c r="K37" s="175"/>
      <c r="L37" s="175"/>
      <c r="M37" s="175"/>
      <c r="N37" s="175"/>
      <c r="O37" s="168"/>
      <c r="P37" s="168"/>
      <c r="Q37" s="36"/>
      <c r="R37" s="325"/>
      <c r="S37" s="159"/>
    </row>
    <row r="38" spans="1:41" ht="12" customHeight="1" x14ac:dyDescent="0.2">
      <c r="A38" s="161"/>
      <c r="B38" s="1140" t="s">
        <v>19</v>
      </c>
      <c r="C38" s="1125" t="s">
        <v>518</v>
      </c>
      <c r="D38" s="1126"/>
      <c r="E38" s="1126"/>
      <c r="F38" s="1126"/>
      <c r="G38" s="1126"/>
      <c r="H38" s="1126"/>
      <c r="I38" s="1126"/>
      <c r="J38" s="1126"/>
      <c r="K38" s="1127" t="str">
        <f>IF(POSTURES!P15=0,"Not present",IF(POSTURES!W58=0,"Present. Please, proceed to the sheet POSTURES","Present"))</f>
        <v>Present. Please, proceed to the sheet POSTURES</v>
      </c>
      <c r="L38" s="1127"/>
      <c r="M38" s="1127"/>
      <c r="N38" s="1128"/>
      <c r="O38" s="1119"/>
      <c r="P38" s="1120"/>
      <c r="Q38" s="36"/>
      <c r="R38" s="1141">
        <f>POSTURES!W61</f>
        <v>0</v>
      </c>
      <c r="S38" s="159"/>
    </row>
    <row r="39" spans="1:41" ht="12" customHeight="1" x14ac:dyDescent="0.2">
      <c r="A39" s="161"/>
      <c r="B39" s="1140"/>
      <c r="C39" s="1125"/>
      <c r="D39" s="1126"/>
      <c r="E39" s="1126"/>
      <c r="F39" s="1126"/>
      <c r="G39" s="1126"/>
      <c r="H39" s="1126"/>
      <c r="I39" s="1126"/>
      <c r="J39" s="1126"/>
      <c r="K39" s="1127"/>
      <c r="L39" s="1127"/>
      <c r="M39" s="1127"/>
      <c r="N39" s="1128"/>
      <c r="O39" s="1121"/>
      <c r="P39" s="1122"/>
      <c r="Q39" s="36"/>
      <c r="R39" s="1141"/>
      <c r="S39" s="159"/>
    </row>
    <row r="40" spans="1:41" ht="39.75" customHeight="1" x14ac:dyDescent="0.2">
      <c r="A40" s="161"/>
      <c r="B40" s="1140"/>
      <c r="C40" s="1125"/>
      <c r="D40" s="1126"/>
      <c r="E40" s="1126"/>
      <c r="F40" s="1126"/>
      <c r="G40" s="1126"/>
      <c r="H40" s="1126"/>
      <c r="I40" s="1126"/>
      <c r="J40" s="1126"/>
      <c r="K40" s="1127"/>
      <c r="L40" s="1127"/>
      <c r="M40" s="1127"/>
      <c r="N40" s="1128"/>
      <c r="O40" s="1123"/>
      <c r="P40" s="1124"/>
      <c r="Q40" s="36"/>
      <c r="R40" s="1141"/>
      <c r="S40" s="159"/>
    </row>
    <row r="41" spans="1:41" ht="27" customHeight="1" x14ac:dyDescent="0.2">
      <c r="A41" s="161"/>
      <c r="B41" s="54"/>
      <c r="C41" s="1129" t="str">
        <f>CONCATENATE(POSTURES!D67," ",POSTURES!D68)</f>
        <v>Please, answer the questions. To consider but long term.</v>
      </c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36"/>
      <c r="P41" s="36"/>
      <c r="Q41" s="36"/>
      <c r="R41" s="325"/>
      <c r="S41" s="159"/>
    </row>
    <row r="42" spans="1:41" ht="18" customHeight="1" x14ac:dyDescent="0.2">
      <c r="A42" s="161"/>
      <c r="B42" s="5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66"/>
      <c r="S42" s="159"/>
    </row>
    <row r="43" spans="1:41" s="8" customFormat="1" ht="14.25" customHeight="1" x14ac:dyDescent="0.2">
      <c r="A43" s="161"/>
      <c r="B43" s="1134" t="s">
        <v>422</v>
      </c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59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8" customFormat="1" ht="14.25" customHeight="1" x14ac:dyDescent="0.2">
      <c r="A44" s="161"/>
      <c r="B44" s="1139"/>
      <c r="C44" s="1138"/>
      <c r="D44" s="1138"/>
      <c r="E44" s="1138"/>
      <c r="F44" s="1138"/>
      <c r="G44" s="1138"/>
      <c r="H44" s="1138"/>
      <c r="I44" s="1138"/>
      <c r="J44" s="1138"/>
      <c r="K44" s="1138"/>
      <c r="L44" s="1138"/>
      <c r="M44" s="1138"/>
      <c r="N44" s="1138"/>
      <c r="O44" s="1138"/>
      <c r="P44" s="1138"/>
      <c r="Q44" s="1138"/>
      <c r="R44" s="1138"/>
      <c r="S44" s="15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8" customFormat="1" ht="20.25" customHeight="1" x14ac:dyDescent="0.2">
      <c r="A45" s="161"/>
      <c r="B45" s="1139"/>
      <c r="C45" s="1138"/>
      <c r="D45" s="1138"/>
      <c r="E45" s="1138"/>
      <c r="F45" s="1138"/>
      <c r="G45" s="1138"/>
      <c r="H45" s="1138"/>
      <c r="I45" s="1138"/>
      <c r="J45" s="1138"/>
      <c r="K45" s="1138"/>
      <c r="L45" s="1138"/>
      <c r="M45" s="1138"/>
      <c r="N45" s="1138"/>
      <c r="O45" s="1138"/>
      <c r="P45" s="1138"/>
      <c r="Q45" s="1138"/>
      <c r="R45" s="1138"/>
      <c r="S45" s="15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1.25" customHeight="1" x14ac:dyDescent="0.2">
      <c r="A46" s="16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66"/>
      <c r="S46" s="159"/>
    </row>
    <row r="47" spans="1:41" ht="12" customHeight="1" x14ac:dyDescent="0.2">
      <c r="A47" s="161"/>
      <c r="B47" s="760" t="s">
        <v>20</v>
      </c>
      <c r="C47" s="1136" t="s">
        <v>529</v>
      </c>
      <c r="D47" s="1137"/>
      <c r="E47" s="1137"/>
      <c r="F47" s="1137"/>
      <c r="G47" s="1137"/>
      <c r="H47" s="1137"/>
      <c r="I47" s="1137"/>
      <c r="J47" s="1137"/>
      <c r="K47" s="1137"/>
      <c r="L47" s="1137"/>
      <c r="M47" s="1137"/>
      <c r="N47" s="1137"/>
      <c r="O47" s="1119"/>
      <c r="P47" s="1120"/>
      <c r="Q47" s="36"/>
      <c r="R47" s="1141" t="str">
        <f>'HAZARDS-GEN'!$U$101</f>
        <v/>
      </c>
      <c r="S47" s="159"/>
    </row>
    <row r="48" spans="1:41" ht="12" customHeight="1" x14ac:dyDescent="0.2">
      <c r="A48" s="161"/>
      <c r="B48" s="760"/>
      <c r="C48" s="1136"/>
      <c r="D48" s="1137"/>
      <c r="E48" s="1137"/>
      <c r="F48" s="1137"/>
      <c r="G48" s="1137"/>
      <c r="H48" s="1137"/>
      <c r="I48" s="1137"/>
      <c r="J48" s="1137"/>
      <c r="K48" s="1137"/>
      <c r="L48" s="1137"/>
      <c r="M48" s="1137"/>
      <c r="N48" s="1137"/>
      <c r="O48" s="1121"/>
      <c r="P48" s="1122"/>
      <c r="Q48" s="36"/>
      <c r="R48" s="1141"/>
      <c r="S48" s="159"/>
    </row>
    <row r="49" spans="1:21" ht="12" customHeight="1" x14ac:dyDescent="0.2">
      <c r="A49" s="161"/>
      <c r="B49" s="760"/>
      <c r="C49" s="1136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7"/>
      <c r="O49" s="1123"/>
      <c r="P49" s="1124"/>
      <c r="Q49" s="36"/>
      <c r="R49" s="1141"/>
      <c r="S49" s="159"/>
    </row>
    <row r="50" spans="1:21" ht="8.25" customHeight="1" x14ac:dyDescent="0.2">
      <c r="A50" s="16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65"/>
      <c r="P50" s="165"/>
      <c r="Q50" s="36"/>
      <c r="R50" s="325"/>
      <c r="S50" s="159"/>
    </row>
    <row r="51" spans="1:21" ht="12" customHeight="1" x14ac:dyDescent="0.2">
      <c r="A51" s="161"/>
      <c r="B51" s="760" t="s">
        <v>21</v>
      </c>
      <c r="C51" s="1136" t="s">
        <v>108</v>
      </c>
      <c r="D51" s="1137"/>
      <c r="E51" s="1137"/>
      <c r="F51" s="1137"/>
      <c r="G51" s="1137"/>
      <c r="H51" s="1137"/>
      <c r="I51" s="1137"/>
      <c r="J51" s="1137"/>
      <c r="K51" s="1137"/>
      <c r="L51" s="1137"/>
      <c r="M51" s="1137"/>
      <c r="N51" s="1137"/>
      <c r="O51" s="1119"/>
      <c r="P51" s="1120"/>
      <c r="Q51" s="36"/>
      <c r="R51" s="1141" t="str">
        <f>'HAZARDS-GEN'!$U$114</f>
        <v/>
      </c>
      <c r="S51" s="159"/>
    </row>
    <row r="52" spans="1:21" ht="12" customHeight="1" x14ac:dyDescent="0.2">
      <c r="A52" s="161"/>
      <c r="B52" s="760"/>
      <c r="C52" s="1136"/>
      <c r="D52" s="1137"/>
      <c r="E52" s="1137"/>
      <c r="F52" s="1137"/>
      <c r="G52" s="1137"/>
      <c r="H52" s="1137"/>
      <c r="I52" s="1137"/>
      <c r="J52" s="1137"/>
      <c r="K52" s="1137"/>
      <c r="L52" s="1137"/>
      <c r="M52" s="1137"/>
      <c r="N52" s="1137"/>
      <c r="O52" s="1121"/>
      <c r="P52" s="1122"/>
      <c r="Q52" s="36"/>
      <c r="R52" s="1141"/>
      <c r="S52" s="159"/>
    </row>
    <row r="53" spans="1:21" ht="12" customHeight="1" x14ac:dyDescent="0.2">
      <c r="A53" s="161"/>
      <c r="B53" s="760"/>
      <c r="C53" s="1136"/>
      <c r="D53" s="1137"/>
      <c r="E53" s="1137"/>
      <c r="F53" s="1137"/>
      <c r="G53" s="1137"/>
      <c r="H53" s="1137"/>
      <c r="I53" s="1137"/>
      <c r="J53" s="1137"/>
      <c r="K53" s="1137"/>
      <c r="L53" s="1137"/>
      <c r="M53" s="1137"/>
      <c r="N53" s="1137"/>
      <c r="O53" s="1123"/>
      <c r="P53" s="1124"/>
      <c r="Q53" s="36"/>
      <c r="R53" s="1141"/>
      <c r="S53" s="159"/>
    </row>
    <row r="54" spans="1:21" ht="8.25" customHeight="1" x14ac:dyDescent="0.2">
      <c r="A54" s="16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65"/>
      <c r="P54" s="165"/>
      <c r="Q54" s="36"/>
      <c r="R54" s="325"/>
      <c r="S54" s="159"/>
    </row>
    <row r="55" spans="1:21" ht="12" customHeight="1" x14ac:dyDescent="0.2">
      <c r="A55" s="161"/>
      <c r="B55" s="760" t="s">
        <v>22</v>
      </c>
      <c r="C55" s="1136" t="s">
        <v>70</v>
      </c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19"/>
      <c r="P55" s="1120"/>
      <c r="Q55" s="36"/>
      <c r="R55" s="1141" t="str">
        <f>'HAZARDS-GEN'!$U$134</f>
        <v/>
      </c>
      <c r="S55" s="159"/>
    </row>
    <row r="56" spans="1:21" ht="12" customHeight="1" x14ac:dyDescent="0.2">
      <c r="A56" s="161"/>
      <c r="B56" s="760"/>
      <c r="C56" s="1136"/>
      <c r="D56" s="1137"/>
      <c r="E56" s="1137"/>
      <c r="F56" s="1137"/>
      <c r="G56" s="1137"/>
      <c r="H56" s="1137"/>
      <c r="I56" s="1137"/>
      <c r="J56" s="1137"/>
      <c r="K56" s="1137"/>
      <c r="L56" s="1137"/>
      <c r="M56" s="1137"/>
      <c r="N56" s="1137"/>
      <c r="O56" s="1121"/>
      <c r="P56" s="1122"/>
      <c r="Q56" s="36"/>
      <c r="R56" s="1141"/>
      <c r="S56" s="159"/>
    </row>
    <row r="57" spans="1:21" ht="12" customHeight="1" x14ac:dyDescent="0.2">
      <c r="A57" s="161"/>
      <c r="B57" s="760"/>
      <c r="C57" s="1136"/>
      <c r="D57" s="1137"/>
      <c r="E57" s="1137"/>
      <c r="F57" s="1137"/>
      <c r="G57" s="1137"/>
      <c r="H57" s="1137"/>
      <c r="I57" s="1137"/>
      <c r="J57" s="1137"/>
      <c r="K57" s="1137"/>
      <c r="L57" s="1137"/>
      <c r="M57" s="1137"/>
      <c r="N57" s="1137"/>
      <c r="O57" s="1123"/>
      <c r="P57" s="1124"/>
      <c r="Q57" s="36"/>
      <c r="R57" s="1141"/>
      <c r="S57" s="159"/>
    </row>
    <row r="58" spans="1:21" ht="9" customHeight="1" x14ac:dyDescent="0.2">
      <c r="A58" s="16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65"/>
      <c r="P58" s="165"/>
      <c r="Q58" s="36"/>
      <c r="R58" s="325"/>
      <c r="S58" s="159"/>
      <c r="T58" s="8"/>
      <c r="U58" s="8"/>
    </row>
    <row r="59" spans="1:21" ht="12" customHeight="1" x14ac:dyDescent="0.2">
      <c r="A59" s="161"/>
      <c r="B59" s="760" t="s">
        <v>11</v>
      </c>
      <c r="C59" s="1136" t="s">
        <v>530</v>
      </c>
      <c r="D59" s="1137"/>
      <c r="E59" s="1137"/>
      <c r="F59" s="1137"/>
      <c r="G59" s="1137"/>
      <c r="H59" s="1137"/>
      <c r="I59" s="1137"/>
      <c r="J59" s="1137"/>
      <c r="K59" s="1137"/>
      <c r="L59" s="1137"/>
      <c r="M59" s="1137"/>
      <c r="N59" s="1137"/>
      <c r="O59" s="1119"/>
      <c r="P59" s="1120"/>
      <c r="Q59" s="36"/>
      <c r="R59" s="1141" t="str">
        <f>'HAZARDS-GEN'!$U$151</f>
        <v/>
      </c>
      <c r="S59" s="159"/>
    </row>
    <row r="60" spans="1:21" ht="12" customHeight="1" x14ac:dyDescent="0.2">
      <c r="A60" s="161"/>
      <c r="B60" s="760"/>
      <c r="C60" s="1136"/>
      <c r="D60" s="1137"/>
      <c r="E60" s="1137"/>
      <c r="F60" s="1137"/>
      <c r="G60" s="1137"/>
      <c r="H60" s="1137"/>
      <c r="I60" s="1137"/>
      <c r="J60" s="1137"/>
      <c r="K60" s="1137"/>
      <c r="L60" s="1137"/>
      <c r="M60" s="1137"/>
      <c r="N60" s="1137"/>
      <c r="O60" s="1121"/>
      <c r="P60" s="1122"/>
      <c r="Q60" s="36"/>
      <c r="R60" s="1141"/>
      <c r="S60" s="159"/>
    </row>
    <row r="61" spans="1:21" ht="12" customHeight="1" x14ac:dyDescent="0.2">
      <c r="A61" s="161"/>
      <c r="B61" s="760"/>
      <c r="C61" s="1136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23"/>
      <c r="P61" s="1124"/>
      <c r="Q61" s="36"/>
      <c r="R61" s="1141"/>
      <c r="S61" s="159"/>
    </row>
    <row r="62" spans="1:21" ht="9" customHeight="1" x14ac:dyDescent="0.2">
      <c r="A62" s="16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165"/>
      <c r="P62" s="165"/>
      <c r="Q62" s="36"/>
      <c r="R62" s="325"/>
      <c r="S62" s="159"/>
    </row>
    <row r="63" spans="1:21" ht="12" customHeight="1" x14ac:dyDescent="0.2">
      <c r="A63" s="161"/>
      <c r="B63" s="760" t="s">
        <v>23</v>
      </c>
      <c r="C63" s="1136" t="s">
        <v>531</v>
      </c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19"/>
      <c r="P63" s="1120"/>
      <c r="Q63" s="36"/>
      <c r="R63" s="1141" t="str">
        <f>'HAZARDS-GEN'!$U$169</f>
        <v/>
      </c>
      <c r="S63" s="159"/>
    </row>
    <row r="64" spans="1:21" ht="12" customHeight="1" x14ac:dyDescent="0.2">
      <c r="A64" s="161"/>
      <c r="B64" s="760"/>
      <c r="C64" s="1136"/>
      <c r="D64" s="1137"/>
      <c r="E64" s="1137"/>
      <c r="F64" s="1137"/>
      <c r="G64" s="1137"/>
      <c r="H64" s="1137"/>
      <c r="I64" s="1137"/>
      <c r="J64" s="1137"/>
      <c r="K64" s="1137"/>
      <c r="L64" s="1137"/>
      <c r="M64" s="1137"/>
      <c r="N64" s="1137"/>
      <c r="O64" s="1121"/>
      <c r="P64" s="1122"/>
      <c r="Q64" s="36"/>
      <c r="R64" s="1141"/>
      <c r="S64" s="159"/>
    </row>
    <row r="65" spans="1:19" ht="12" customHeight="1" x14ac:dyDescent="0.2">
      <c r="A65" s="161"/>
      <c r="B65" s="760"/>
      <c r="C65" s="1136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23"/>
      <c r="P65" s="1124"/>
      <c r="Q65" s="36"/>
      <c r="R65" s="1141"/>
      <c r="S65" s="159"/>
    </row>
    <row r="66" spans="1:19" ht="12.75" customHeight="1" x14ac:dyDescent="0.2">
      <c r="A66" s="16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165"/>
      <c r="P66" s="165"/>
      <c r="Q66" s="36"/>
      <c r="R66" s="325"/>
      <c r="S66" s="159"/>
    </row>
    <row r="67" spans="1:19" ht="12" customHeight="1" x14ac:dyDescent="0.2">
      <c r="A67" s="161"/>
      <c r="B67" s="760" t="s">
        <v>24</v>
      </c>
      <c r="C67" s="1136" t="s">
        <v>532</v>
      </c>
      <c r="D67" s="1137"/>
      <c r="E67" s="1137"/>
      <c r="F67" s="1137"/>
      <c r="G67" s="1137"/>
      <c r="H67" s="1137"/>
      <c r="I67" s="1137"/>
      <c r="J67" s="1137"/>
      <c r="K67" s="1137"/>
      <c r="L67" s="1137"/>
      <c r="M67" s="1137"/>
      <c r="N67" s="1137"/>
      <c r="O67" s="1119"/>
      <c r="P67" s="1120"/>
      <c r="Q67" s="36"/>
      <c r="R67" s="1141" t="str">
        <f>'HAZARDS-GEN'!$U$190</f>
        <v/>
      </c>
      <c r="S67" s="159"/>
    </row>
    <row r="68" spans="1:19" ht="12" customHeight="1" x14ac:dyDescent="0.2">
      <c r="A68" s="161"/>
      <c r="B68" s="760"/>
      <c r="C68" s="1136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21"/>
      <c r="P68" s="1122"/>
      <c r="Q68" s="36"/>
      <c r="R68" s="1141"/>
      <c r="S68" s="159"/>
    </row>
    <row r="69" spans="1:19" ht="12" customHeight="1" x14ac:dyDescent="0.2">
      <c r="A69" s="161"/>
      <c r="B69" s="760"/>
      <c r="C69" s="1136"/>
      <c r="D69" s="1137"/>
      <c r="E69" s="1137"/>
      <c r="F69" s="1137"/>
      <c r="G69" s="1137"/>
      <c r="H69" s="1137"/>
      <c r="I69" s="1137"/>
      <c r="J69" s="1137"/>
      <c r="K69" s="1137"/>
      <c r="L69" s="1137"/>
      <c r="M69" s="1137"/>
      <c r="N69" s="1137"/>
      <c r="O69" s="1123"/>
      <c r="P69" s="1124"/>
      <c r="Q69" s="36"/>
      <c r="R69" s="1141"/>
      <c r="S69" s="159"/>
    </row>
    <row r="70" spans="1:19" ht="12.75" customHeight="1" x14ac:dyDescent="0.2">
      <c r="A70" s="16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5"/>
      <c r="P70" s="165"/>
      <c r="Q70" s="36"/>
      <c r="R70" s="325"/>
      <c r="S70" s="159"/>
    </row>
    <row r="71" spans="1:19" ht="12" customHeight="1" x14ac:dyDescent="0.2">
      <c r="A71" s="161"/>
      <c r="B71" s="760" t="s">
        <v>29</v>
      </c>
      <c r="C71" s="1136" t="s">
        <v>533</v>
      </c>
      <c r="D71" s="1137"/>
      <c r="E71" s="1137"/>
      <c r="F71" s="1137"/>
      <c r="G71" s="1137"/>
      <c r="H71" s="1137"/>
      <c r="I71" s="1137"/>
      <c r="J71" s="1137"/>
      <c r="K71" s="1137"/>
      <c r="L71" s="1137"/>
      <c r="M71" s="1137"/>
      <c r="N71" s="1137"/>
      <c r="O71" s="1119"/>
      <c r="P71" s="1120"/>
      <c r="Q71" s="36"/>
      <c r="R71" s="1141" t="str">
        <f>'HAZARDS-GEN'!$U$205</f>
        <v/>
      </c>
      <c r="S71" s="159"/>
    </row>
    <row r="72" spans="1:19" ht="12" customHeight="1" x14ac:dyDescent="0.2">
      <c r="A72" s="161"/>
      <c r="B72" s="760"/>
      <c r="C72" s="1136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21"/>
      <c r="P72" s="1122"/>
      <c r="Q72" s="36"/>
      <c r="R72" s="1141"/>
      <c r="S72" s="159"/>
    </row>
    <row r="73" spans="1:19" ht="12" customHeight="1" x14ac:dyDescent="0.2">
      <c r="A73" s="161"/>
      <c r="B73" s="760"/>
      <c r="C73" s="1136"/>
      <c r="D73" s="1137"/>
      <c r="E73" s="1137"/>
      <c r="F73" s="1137"/>
      <c r="G73" s="1137"/>
      <c r="H73" s="1137"/>
      <c r="I73" s="1137"/>
      <c r="J73" s="1137"/>
      <c r="K73" s="1137"/>
      <c r="L73" s="1137"/>
      <c r="M73" s="1137"/>
      <c r="N73" s="1137"/>
      <c r="O73" s="1123"/>
      <c r="P73" s="1124"/>
      <c r="Q73" s="36"/>
      <c r="R73" s="1141"/>
      <c r="S73" s="159"/>
    </row>
    <row r="74" spans="1:19" ht="20.25" x14ac:dyDescent="0.2">
      <c r="A74" s="161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65"/>
      <c r="P74" s="165"/>
      <c r="Q74" s="36"/>
      <c r="R74" s="325"/>
      <c r="S74" s="159"/>
    </row>
    <row r="75" spans="1:19" ht="12" customHeight="1" x14ac:dyDescent="0.2">
      <c r="A75" s="161"/>
      <c r="B75" s="760" t="s">
        <v>519</v>
      </c>
      <c r="C75" s="1136" t="s">
        <v>71</v>
      </c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19"/>
      <c r="P75" s="1120"/>
      <c r="Q75" s="36"/>
      <c r="R75" s="1141">
        <f>POLLUTTANTS!$AV$46</f>
        <v>0</v>
      </c>
      <c r="S75" s="159"/>
    </row>
    <row r="76" spans="1:19" ht="12" customHeight="1" x14ac:dyDescent="0.2">
      <c r="A76" s="161"/>
      <c r="B76" s="760"/>
      <c r="C76" s="1136"/>
      <c r="D76" s="1137"/>
      <c r="E76" s="1137"/>
      <c r="F76" s="1137"/>
      <c r="G76" s="1137"/>
      <c r="H76" s="1137"/>
      <c r="I76" s="1137"/>
      <c r="J76" s="1137"/>
      <c r="K76" s="1137"/>
      <c r="L76" s="1137"/>
      <c r="M76" s="1137"/>
      <c r="N76" s="1137"/>
      <c r="O76" s="1121"/>
      <c r="P76" s="1122"/>
      <c r="Q76" s="36"/>
      <c r="R76" s="1141"/>
      <c r="S76" s="159"/>
    </row>
    <row r="77" spans="1:19" ht="12" customHeight="1" x14ac:dyDescent="0.2">
      <c r="A77" s="161"/>
      <c r="B77" s="760"/>
      <c r="C77" s="1136"/>
      <c r="D77" s="1137"/>
      <c r="E77" s="1137"/>
      <c r="F77" s="1137"/>
      <c r="G77" s="1137"/>
      <c r="H77" s="1137"/>
      <c r="I77" s="1137"/>
      <c r="J77" s="1137"/>
      <c r="K77" s="1137"/>
      <c r="L77" s="1137"/>
      <c r="M77" s="1137"/>
      <c r="N77" s="1137"/>
      <c r="O77" s="1123"/>
      <c r="P77" s="1124"/>
      <c r="Q77" s="36"/>
      <c r="R77" s="1141"/>
      <c r="S77" s="159"/>
    </row>
    <row r="78" spans="1:19" ht="12" customHeight="1" x14ac:dyDescent="0.3">
      <c r="A78" s="16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489"/>
      <c r="S78" s="159"/>
    </row>
    <row r="79" spans="1:19" ht="12" customHeight="1" x14ac:dyDescent="0.2">
      <c r="A79" s="161"/>
      <c r="B79" s="760" t="s">
        <v>526</v>
      </c>
      <c r="C79" s="1136" t="s">
        <v>109</v>
      </c>
      <c r="D79" s="1137"/>
      <c r="E79" s="1137"/>
      <c r="F79" s="1137"/>
      <c r="G79" s="1137"/>
      <c r="H79" s="1137"/>
      <c r="I79" s="1137"/>
      <c r="J79" s="1137"/>
      <c r="K79" s="1137"/>
      <c r="L79" s="1137"/>
      <c r="M79" s="1137"/>
      <c r="N79" s="1137"/>
      <c r="O79" s="1119"/>
      <c r="P79" s="1120"/>
      <c r="Q79" s="36"/>
      <c r="R79" s="1141" t="str">
        <f>'HAZARDS-GEN'!$U$247</f>
        <v/>
      </c>
      <c r="S79" s="159"/>
    </row>
    <row r="80" spans="1:19" ht="12" customHeight="1" x14ac:dyDescent="0.2">
      <c r="A80" s="161"/>
      <c r="B80" s="760"/>
      <c r="C80" s="1136"/>
      <c r="D80" s="1137"/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21"/>
      <c r="P80" s="1122"/>
      <c r="Q80" s="36"/>
      <c r="R80" s="1141"/>
      <c r="S80" s="159"/>
    </row>
    <row r="81" spans="1:19" ht="12" customHeight="1" x14ac:dyDescent="0.2">
      <c r="A81" s="161"/>
      <c r="B81" s="760"/>
      <c r="C81" s="1136"/>
      <c r="D81" s="1137"/>
      <c r="E81" s="1137"/>
      <c r="F81" s="1137"/>
      <c r="G81" s="1137"/>
      <c r="H81" s="1137"/>
      <c r="I81" s="1137"/>
      <c r="J81" s="1137"/>
      <c r="K81" s="1137"/>
      <c r="L81" s="1137"/>
      <c r="M81" s="1137"/>
      <c r="N81" s="1137"/>
      <c r="O81" s="1123"/>
      <c r="P81" s="1124"/>
      <c r="Q81" s="36"/>
      <c r="R81" s="1141"/>
      <c r="S81" s="159"/>
    </row>
    <row r="82" spans="1:19" ht="15.75" customHeight="1" x14ac:dyDescent="0.2">
      <c r="A82" s="161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159"/>
    </row>
    <row r="83" spans="1:19" x14ac:dyDescent="0.2">
      <c r="A83" s="267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70"/>
    </row>
    <row r="84" spans="1:19" ht="33.75" customHeight="1" x14ac:dyDescent="0.2">
      <c r="A84" s="271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272"/>
    </row>
    <row r="85" spans="1:19" ht="33.75" customHeight="1" x14ac:dyDescent="0.2">
      <c r="A85" s="271"/>
      <c r="B85" s="36"/>
      <c r="C85" s="36" t="s">
        <v>13</v>
      </c>
      <c r="D85" s="36"/>
      <c r="E85" s="36"/>
      <c r="F85" s="36"/>
      <c r="G85" s="36"/>
      <c r="H85" s="36"/>
      <c r="I85" s="36" t="s">
        <v>20</v>
      </c>
      <c r="J85" s="36" t="s">
        <v>21</v>
      </c>
      <c r="K85" s="36" t="s">
        <v>22</v>
      </c>
      <c r="L85" s="36" t="s">
        <v>11</v>
      </c>
      <c r="M85" s="36"/>
      <c r="N85" s="36" t="s">
        <v>23</v>
      </c>
      <c r="O85" s="36" t="s">
        <v>29</v>
      </c>
      <c r="P85" s="36" t="s">
        <v>30</v>
      </c>
      <c r="Q85" s="36"/>
      <c r="R85" s="36"/>
      <c r="S85" s="272"/>
    </row>
    <row r="86" spans="1:19" x14ac:dyDescent="0.2">
      <c r="A86" s="271"/>
      <c r="B86" s="36"/>
      <c r="C86" s="163" t="s">
        <v>188</v>
      </c>
      <c r="D86" s="163" t="s">
        <v>189</v>
      </c>
      <c r="E86" s="163" t="s">
        <v>190</v>
      </c>
      <c r="F86" s="163" t="s">
        <v>200</v>
      </c>
      <c r="G86" s="163" t="s">
        <v>191</v>
      </c>
      <c r="H86" s="163" t="s">
        <v>192</v>
      </c>
      <c r="I86" s="163" t="s">
        <v>193</v>
      </c>
      <c r="J86" s="163" t="s">
        <v>194</v>
      </c>
      <c r="K86" s="163" t="s">
        <v>70</v>
      </c>
      <c r="L86" s="163" t="s">
        <v>195</v>
      </c>
      <c r="M86" s="163" t="s">
        <v>196</v>
      </c>
      <c r="N86" s="163" t="s">
        <v>197</v>
      </c>
      <c r="O86" s="163" t="s">
        <v>198</v>
      </c>
      <c r="P86" s="163" t="s">
        <v>199</v>
      </c>
      <c r="Q86" s="36"/>
      <c r="R86" s="36"/>
      <c r="S86" s="272"/>
    </row>
    <row r="87" spans="1:19" x14ac:dyDescent="0.2">
      <c r="A87" s="271"/>
      <c r="B87" s="36" t="s">
        <v>32</v>
      </c>
      <c r="C87" s="164" t="str">
        <f>$R$18</f>
        <v/>
      </c>
      <c r="D87" s="164">
        <f>$R$23</f>
        <v>0</v>
      </c>
      <c r="E87" s="164" t="e">
        <f>$R$28</f>
        <v>#DIV/0!</v>
      </c>
      <c r="F87" s="164">
        <f>$R$33</f>
        <v>0</v>
      </c>
      <c r="G87" s="164">
        <f>$R$38</f>
        <v>0</v>
      </c>
      <c r="H87" s="164" t="str">
        <f>$R$79</f>
        <v/>
      </c>
      <c r="I87" s="164" t="str">
        <f>$R$47</f>
        <v/>
      </c>
      <c r="J87" s="164" t="str">
        <f>'HAZARDS-GEN'!$U$114</f>
        <v/>
      </c>
      <c r="K87" s="164" t="str">
        <f>$R$55</f>
        <v/>
      </c>
      <c r="L87" s="164" t="str">
        <f>$R$59</f>
        <v/>
      </c>
      <c r="M87" s="164" t="str">
        <f>$R$67</f>
        <v/>
      </c>
      <c r="N87" s="164" t="str">
        <f>$R$63</f>
        <v/>
      </c>
      <c r="O87" s="164" t="str">
        <f>$R$71</f>
        <v/>
      </c>
      <c r="P87" s="164">
        <f>$R$75</f>
        <v>0</v>
      </c>
      <c r="Q87" s="36"/>
      <c r="R87" s="36"/>
      <c r="S87" s="272"/>
    </row>
    <row r="88" spans="1:19" x14ac:dyDescent="0.2">
      <c r="A88" s="271"/>
      <c r="B88" s="36" t="s">
        <v>33</v>
      </c>
      <c r="C88" s="36">
        <f>IF('REPETITIVE-MOV'!S52&gt;0,1,0)</f>
        <v>0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272"/>
    </row>
    <row r="89" spans="1:19" x14ac:dyDescent="0.2">
      <c r="A89" s="271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272"/>
    </row>
    <row r="90" spans="1:19" x14ac:dyDescent="0.2">
      <c r="A90" s="271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272"/>
    </row>
    <row r="91" spans="1:19" x14ac:dyDescent="0.2">
      <c r="A91" s="27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272"/>
    </row>
    <row r="92" spans="1:19" x14ac:dyDescent="0.2">
      <c r="A92" s="271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272"/>
    </row>
    <row r="93" spans="1:19" x14ac:dyDescent="0.2">
      <c r="A93" s="271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272"/>
    </row>
    <row r="94" spans="1:19" x14ac:dyDescent="0.2">
      <c r="A94" s="271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272"/>
    </row>
    <row r="95" spans="1:19" ht="367.5" customHeight="1" x14ac:dyDescent="0.2">
      <c r="A95" s="278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280"/>
    </row>
    <row r="96" spans="1:1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t="40.5" hidden="1" customHeight="1" x14ac:dyDescent="0.2"/>
    <row r="119" ht="28.5" hidden="1" customHeight="1" x14ac:dyDescent="0.2"/>
  </sheetData>
  <sheetProtection password="BD29" sheet="1" objects="1" scenarios="1"/>
  <mergeCells count="78">
    <mergeCell ref="O63:P65"/>
    <mergeCell ref="O59:P61"/>
    <mergeCell ref="O38:P40"/>
    <mergeCell ref="R38:R40"/>
    <mergeCell ref="O47:P49"/>
    <mergeCell ref="O51:P53"/>
    <mergeCell ref="R55:R57"/>
    <mergeCell ref="O55:P57"/>
    <mergeCell ref="R51:R53"/>
    <mergeCell ref="R47:R49"/>
    <mergeCell ref="O67:P69"/>
    <mergeCell ref="O71:P73"/>
    <mergeCell ref="B79:B81"/>
    <mergeCell ref="C79:N81"/>
    <mergeCell ref="R75:R77"/>
    <mergeCell ref="O75:P77"/>
    <mergeCell ref="B75:B77"/>
    <mergeCell ref="C75:N77"/>
    <mergeCell ref="R79:R81"/>
    <mergeCell ref="O79:P81"/>
    <mergeCell ref="B71:B73"/>
    <mergeCell ref="C71:N73"/>
    <mergeCell ref="R28:R30"/>
    <mergeCell ref="R23:R25"/>
    <mergeCell ref="R33:R35"/>
    <mergeCell ref="R71:R73"/>
    <mergeCell ref="R67:R69"/>
    <mergeCell ref="R63:R65"/>
    <mergeCell ref="R59:R61"/>
    <mergeCell ref="B59:B61"/>
    <mergeCell ref="C59:N61"/>
    <mergeCell ref="B63:B65"/>
    <mergeCell ref="B67:B69"/>
    <mergeCell ref="C67:N69"/>
    <mergeCell ref="C63:N65"/>
    <mergeCell ref="B47:B49"/>
    <mergeCell ref="B55:B57"/>
    <mergeCell ref="C55:N57"/>
    <mergeCell ref="B51:B53"/>
    <mergeCell ref="C51:N53"/>
    <mergeCell ref="C31:N31"/>
    <mergeCell ref="C36:N36"/>
    <mergeCell ref="B43:R45"/>
    <mergeCell ref="B28:B30"/>
    <mergeCell ref="B18:B20"/>
    <mergeCell ref="B23:B25"/>
    <mergeCell ref="C28:J30"/>
    <mergeCell ref="K28:N30"/>
    <mergeCell ref="C26:N26"/>
    <mergeCell ref="B33:B35"/>
    <mergeCell ref="B38:B40"/>
    <mergeCell ref="O18:P20"/>
    <mergeCell ref="R18:R20"/>
    <mergeCell ref="O33:P35"/>
    <mergeCell ref="O28:P30"/>
    <mergeCell ref="C33:J35"/>
    <mergeCell ref="K33:N35"/>
    <mergeCell ref="C38:J40"/>
    <mergeCell ref="K38:N40"/>
    <mergeCell ref="C47:N49"/>
    <mergeCell ref="C41:N41"/>
    <mergeCell ref="B2:R2"/>
    <mergeCell ref="B6:R6"/>
    <mergeCell ref="C14:R16"/>
    <mergeCell ref="B14:B16"/>
    <mergeCell ref="B8:C8"/>
    <mergeCell ref="L8:M8"/>
    <mergeCell ref="B10:C10"/>
    <mergeCell ref="L10:M11"/>
    <mergeCell ref="D8:I8"/>
    <mergeCell ref="D10:I10"/>
    <mergeCell ref="N8:R8"/>
    <mergeCell ref="O23:P25"/>
    <mergeCell ref="C18:J20"/>
    <mergeCell ref="K18:N20"/>
    <mergeCell ref="C23:J25"/>
    <mergeCell ref="K23:N25"/>
    <mergeCell ref="C21:N21"/>
  </mergeCells>
  <phoneticPr fontId="2" type="noConversion"/>
  <conditionalFormatting sqref="O18">
    <cfRule type="expression" priority="131" stopIfTrue="1">
      <formula>R18=""</formula>
    </cfRule>
    <cfRule type="expression" dxfId="55" priority="132" stopIfTrue="1">
      <formula>R18&gt;=0.8</formula>
    </cfRule>
    <cfRule type="expression" dxfId="54" priority="133" stopIfTrue="1">
      <formula>AND(R18&gt;=0.5,R18&lt;0.8)</formula>
    </cfRule>
    <cfRule type="expression" dxfId="53" priority="134" stopIfTrue="1">
      <formula>AND(R18&lt;0.5,R18&gt;0.3)</formula>
    </cfRule>
    <cfRule type="expression" dxfId="52" priority="135" stopIfTrue="1">
      <formula>R18&lt;=0.3</formula>
    </cfRule>
  </conditionalFormatting>
  <conditionalFormatting sqref="O33">
    <cfRule type="expression" priority="61" stopIfTrue="1">
      <formula>R33=""</formula>
    </cfRule>
    <cfRule type="expression" dxfId="51" priority="62" stopIfTrue="1">
      <formula>R33&gt;=0.8</formula>
    </cfRule>
    <cfRule type="expression" dxfId="50" priority="63" stopIfTrue="1">
      <formula>AND(R33&gt;=0.5,R33&lt;0.8)</formula>
    </cfRule>
    <cfRule type="expression" dxfId="49" priority="64" stopIfTrue="1">
      <formula>AND(R33&lt;0.5,R33&gt;0.3)</formula>
    </cfRule>
    <cfRule type="expression" dxfId="48" priority="65" stopIfTrue="1">
      <formula>R33&lt;=0.3</formula>
    </cfRule>
  </conditionalFormatting>
  <conditionalFormatting sqref="O28">
    <cfRule type="expression" priority="56" stopIfTrue="1">
      <formula>R28=""</formula>
    </cfRule>
    <cfRule type="expression" dxfId="47" priority="57" stopIfTrue="1">
      <formula>R28&gt;=0.8</formula>
    </cfRule>
    <cfRule type="expression" dxfId="46" priority="58" stopIfTrue="1">
      <formula>AND(R28&gt;=0.5,R28&lt;0.8)</formula>
    </cfRule>
    <cfRule type="expression" dxfId="45" priority="59" stopIfTrue="1">
      <formula>AND(R28&lt;0.5,R28&gt;0.3)</formula>
    </cfRule>
    <cfRule type="expression" dxfId="44" priority="60" stopIfTrue="1">
      <formula>R28&lt;=0.3</formula>
    </cfRule>
  </conditionalFormatting>
  <conditionalFormatting sqref="O23">
    <cfRule type="expression" priority="51" stopIfTrue="1">
      <formula>R23=""</formula>
    </cfRule>
    <cfRule type="expression" dxfId="43" priority="52" stopIfTrue="1">
      <formula>R23&gt;=0.8</formula>
    </cfRule>
    <cfRule type="expression" dxfId="42" priority="53" stopIfTrue="1">
      <formula>AND(R23&gt;=0.5,R23&lt;0.8)</formula>
    </cfRule>
    <cfRule type="expression" dxfId="41" priority="54" stopIfTrue="1">
      <formula>AND(R23&lt;0.5,R23&gt;0.3)</formula>
    </cfRule>
    <cfRule type="expression" dxfId="40" priority="55" stopIfTrue="1">
      <formula>R23&lt;=0.3</formula>
    </cfRule>
  </conditionalFormatting>
  <conditionalFormatting sqref="O38">
    <cfRule type="expression" priority="46" stopIfTrue="1">
      <formula>R38=""</formula>
    </cfRule>
    <cfRule type="expression" dxfId="39" priority="47" stopIfTrue="1">
      <formula>R38&gt;=0.8</formula>
    </cfRule>
    <cfRule type="expression" dxfId="38" priority="48" stopIfTrue="1">
      <formula>AND(R38&gt;=0.5,R38&lt;0.8)</formula>
    </cfRule>
    <cfRule type="expression" dxfId="37" priority="49" stopIfTrue="1">
      <formula>AND(R38&lt;0.5,R38&gt;0.3)</formula>
    </cfRule>
    <cfRule type="expression" dxfId="36" priority="50" stopIfTrue="1">
      <formula>R38&lt;=0.3</formula>
    </cfRule>
  </conditionalFormatting>
  <conditionalFormatting sqref="O47">
    <cfRule type="expression" priority="41" stopIfTrue="1">
      <formula>R47=""</formula>
    </cfRule>
    <cfRule type="expression" dxfId="35" priority="42" stopIfTrue="1">
      <formula>R47&gt;=0.8</formula>
    </cfRule>
    <cfRule type="expression" dxfId="34" priority="43" stopIfTrue="1">
      <formula>AND(R47&gt;=0.5,R47&lt;0.8)</formula>
    </cfRule>
    <cfRule type="expression" dxfId="33" priority="44" stopIfTrue="1">
      <formula>AND(R47&lt;0.5,R47&gt;0.3)</formula>
    </cfRule>
    <cfRule type="expression" dxfId="32" priority="45" stopIfTrue="1">
      <formula>R47&lt;=0.3</formula>
    </cfRule>
  </conditionalFormatting>
  <conditionalFormatting sqref="O51">
    <cfRule type="expression" priority="36" stopIfTrue="1">
      <formula>R51=""</formula>
    </cfRule>
    <cfRule type="expression" dxfId="31" priority="37" stopIfTrue="1">
      <formula>R51&gt;=0.8</formula>
    </cfRule>
    <cfRule type="expression" dxfId="30" priority="38" stopIfTrue="1">
      <formula>AND(R51&gt;=0.5,R51&lt;0.8)</formula>
    </cfRule>
    <cfRule type="expression" dxfId="29" priority="39" stopIfTrue="1">
      <formula>AND(R51&lt;0.5,R51&gt;0.3)</formula>
    </cfRule>
    <cfRule type="expression" dxfId="28" priority="40" stopIfTrue="1">
      <formula>R51&lt;=0.3</formula>
    </cfRule>
  </conditionalFormatting>
  <conditionalFormatting sqref="O55">
    <cfRule type="expression" priority="31" stopIfTrue="1">
      <formula>R55=""</formula>
    </cfRule>
    <cfRule type="expression" dxfId="27" priority="32" stopIfTrue="1">
      <formula>R55&gt;=0.8</formula>
    </cfRule>
    <cfRule type="expression" dxfId="26" priority="33" stopIfTrue="1">
      <formula>AND(R55&gt;=0.5,R55&lt;0.8)</formula>
    </cfRule>
    <cfRule type="expression" dxfId="25" priority="34" stopIfTrue="1">
      <formula>AND(R55&lt;0.5,R55&gt;0.3)</formula>
    </cfRule>
    <cfRule type="expression" dxfId="24" priority="35" stopIfTrue="1">
      <formula>R55&lt;=0.3</formula>
    </cfRule>
  </conditionalFormatting>
  <conditionalFormatting sqref="O59">
    <cfRule type="expression" priority="26" stopIfTrue="1">
      <formula>R59=""</formula>
    </cfRule>
    <cfRule type="expression" dxfId="23" priority="27" stopIfTrue="1">
      <formula>R59&gt;=0.8</formula>
    </cfRule>
    <cfRule type="expression" dxfId="22" priority="28" stopIfTrue="1">
      <formula>AND(R59&gt;=0.5,R59&lt;0.8)</formula>
    </cfRule>
    <cfRule type="expression" dxfId="21" priority="29" stopIfTrue="1">
      <formula>AND(R59&lt;0.5,R59&gt;0.3)</formula>
    </cfRule>
    <cfRule type="expression" dxfId="20" priority="30" stopIfTrue="1">
      <formula>R59&lt;=0.3</formula>
    </cfRule>
  </conditionalFormatting>
  <conditionalFormatting sqref="O63">
    <cfRule type="expression" priority="21" stopIfTrue="1">
      <formula>R63=""</formula>
    </cfRule>
    <cfRule type="expression" dxfId="19" priority="22" stopIfTrue="1">
      <formula>R63&gt;=0.8</formula>
    </cfRule>
    <cfRule type="expression" dxfId="18" priority="23" stopIfTrue="1">
      <formula>AND(R63&gt;=0.5,R63&lt;0.8)</formula>
    </cfRule>
    <cfRule type="expression" dxfId="17" priority="24" stopIfTrue="1">
      <formula>AND(R63&lt;0.5,R63&gt;0.3)</formula>
    </cfRule>
    <cfRule type="expression" dxfId="16" priority="25" stopIfTrue="1">
      <formula>R63&lt;=0.3</formula>
    </cfRule>
  </conditionalFormatting>
  <conditionalFormatting sqref="O67">
    <cfRule type="expression" priority="16" stopIfTrue="1">
      <formula>R67=""</formula>
    </cfRule>
    <cfRule type="expression" dxfId="15" priority="17" stopIfTrue="1">
      <formula>R67&gt;=0.8</formula>
    </cfRule>
    <cfRule type="expression" dxfId="14" priority="18" stopIfTrue="1">
      <formula>AND(R67&gt;=0.5,R67&lt;0.8)</formula>
    </cfRule>
    <cfRule type="expression" dxfId="13" priority="19" stopIfTrue="1">
      <formula>AND(R67&lt;0.5,R67&gt;0.3)</formula>
    </cfRule>
    <cfRule type="expression" dxfId="12" priority="20" stopIfTrue="1">
      <formula>R67&lt;=0.3</formula>
    </cfRule>
  </conditionalFormatting>
  <conditionalFormatting sqref="O71">
    <cfRule type="expression" priority="11" stopIfTrue="1">
      <formula>R71=""</formula>
    </cfRule>
    <cfRule type="expression" dxfId="11" priority="12" stopIfTrue="1">
      <formula>R71&gt;=0.8</formula>
    </cfRule>
    <cfRule type="expression" dxfId="10" priority="13" stopIfTrue="1">
      <formula>AND(R71&gt;=0.5,R71&lt;0.8)</formula>
    </cfRule>
    <cfRule type="expression" dxfId="9" priority="14" stopIfTrue="1">
      <formula>AND(R71&lt;0.5,R71&gt;0.3)</formula>
    </cfRule>
    <cfRule type="expression" dxfId="8" priority="15" stopIfTrue="1">
      <formula>R71&lt;=0.3</formula>
    </cfRule>
  </conditionalFormatting>
  <conditionalFormatting sqref="O75">
    <cfRule type="expression" priority="6" stopIfTrue="1">
      <formula>R75=""</formula>
    </cfRule>
    <cfRule type="expression" dxfId="7" priority="7" stopIfTrue="1">
      <formula>R75&gt;=0.8</formula>
    </cfRule>
    <cfRule type="expression" dxfId="6" priority="8" stopIfTrue="1">
      <formula>AND(R75&gt;=0.5,R75&lt;0.8)</formula>
    </cfRule>
    <cfRule type="expression" dxfId="5" priority="9" stopIfTrue="1">
      <formula>AND(R75&lt;0.5,R75&gt;=0.25)</formula>
    </cfRule>
    <cfRule type="expression" dxfId="4" priority="10" stopIfTrue="1">
      <formula>R75&lt;0.25</formula>
    </cfRule>
  </conditionalFormatting>
  <conditionalFormatting sqref="O79">
    <cfRule type="expression" priority="1" stopIfTrue="1">
      <formula>R79=""</formula>
    </cfRule>
    <cfRule type="expression" dxfId="3" priority="2" stopIfTrue="1">
      <formula>R79&gt;=0.8</formula>
    </cfRule>
    <cfRule type="expression" dxfId="2" priority="3" stopIfTrue="1">
      <formula>AND(R79&gt;=0.5,R79&lt;0.8)</formula>
    </cfRule>
    <cfRule type="expression" dxfId="1" priority="4" stopIfTrue="1">
      <formula>AND(R79&lt;0.5,R79&gt;0.3)</formula>
    </cfRule>
    <cfRule type="expression" dxfId="0" priority="5" stopIfTrue="1">
      <formula>R79&lt;=0.3</formula>
    </cfRule>
  </conditionalFormatting>
  <pageMargins left="0.75" right="0.5" top="0.49" bottom="0.42" header="0.5" footer="0.5"/>
  <pageSetup paperSize="9" scale="3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HAZARDS-GEN</vt:lpstr>
      <vt:lpstr>REPETITIVE-MOV</vt:lpstr>
      <vt:lpstr>MANUAL HANDLING</vt:lpstr>
      <vt:lpstr>POSTURES</vt:lpstr>
      <vt:lpstr>POLLUTTANTS</vt:lpstr>
      <vt:lpstr>SYNTHESIS</vt:lpstr>
      <vt:lpstr>'HAZARDS-GEN'!Area_stampa</vt:lpstr>
      <vt:lpstr>'MANUAL HANDLING'!Area_stampa</vt:lpstr>
      <vt:lpstr>POSTURES!Area_stampa</vt:lpstr>
      <vt:lpstr>'REPETITIVE-MOV'!Area_stampa</vt:lpstr>
      <vt:lpstr>SYNTHESIS!Area_stampa</vt:lpstr>
    </vt:vector>
  </TitlesOfParts>
  <Company>CENEA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ergocheck</dc:title>
  <dc:subject>v6.0 del 24/3/2014</dc:subject>
  <dc:creator>Enrique Alvarez-Casado</dc:creator>
  <cp:lastModifiedBy>DANIELA</cp:lastModifiedBy>
  <cp:lastPrinted>2015-01-20T09:53:11Z</cp:lastPrinted>
  <dcterms:created xsi:type="dcterms:W3CDTF">2006-04-20T15:30:57Z</dcterms:created>
  <dcterms:modified xsi:type="dcterms:W3CDTF">2015-07-16T14:58:39Z</dcterms:modified>
</cp:coreProperties>
</file>